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Adm\Financeiro\AGENERSA\IV Revisão Quinquenal\Anexos IV RQ\Anexo 10 - DRE  2014 a 2017\"/>
    </mc:Choice>
  </mc:AlternateContent>
  <bookViews>
    <workbookView xWindow="0" yWindow="0" windowWidth="20490" windowHeight="7455" tabRatio="511"/>
  </bookViews>
  <sheets>
    <sheet name="DRE 2014_2015" sheetId="13" r:id="rId1"/>
    <sheet name="DRE 2016_2017" sheetId="9" r:id="rId2"/>
    <sheet name="RESULTADO POR AÇÃO" sheetId="12" state="hidden" r:id="rId3"/>
    <sheet name="base para fluxo de caixa" sheetId="11" state="hidden" r:id="rId4"/>
  </sheets>
  <externalReferences>
    <externalReference r:id="rId5"/>
    <externalReference r:id="rId6"/>
    <externalReference r:id="rId7"/>
  </externalReferences>
  <definedNames>
    <definedName name="_xlnm.Print_Area" localSheetId="0">'DRE 2014_2015'!$A$1:$F$66</definedName>
    <definedName name="_xlnm.Print_Area" localSheetId="1">'DRE 2016_2017'!$A$1:$G$41</definedName>
  </definedNames>
  <calcPr calcId="152511" fullPrecision="0"/>
</workbook>
</file>

<file path=xl/calcChain.xml><?xml version="1.0" encoding="utf-8"?>
<calcChain xmlns="http://schemas.openxmlformats.org/spreadsheetml/2006/main">
  <c r="F60" i="13" l="1"/>
  <c r="D60" i="13"/>
  <c r="G53" i="13"/>
  <c r="G62" i="13" s="1"/>
  <c r="G42" i="13"/>
  <c r="F42" i="13"/>
  <c r="D42" i="13"/>
  <c r="F34" i="13"/>
  <c r="D34" i="13"/>
  <c r="G28" i="13"/>
  <c r="G34" i="13" s="1"/>
  <c r="G36" i="13" s="1"/>
  <c r="G23" i="13"/>
  <c r="F21" i="13"/>
  <c r="F25" i="13" s="1"/>
  <c r="F36" i="13" s="1"/>
  <c r="F53" i="13" s="1"/>
  <c r="F58" i="13" s="1"/>
  <c r="F62" i="13" s="1"/>
  <c r="D21" i="13"/>
  <c r="D25" i="13" s="1"/>
  <c r="D36" i="13" s="1"/>
  <c r="D53" i="13" s="1"/>
  <c r="D58" i="13" s="1"/>
  <c r="D62" i="13" s="1"/>
  <c r="G19" i="13"/>
  <c r="G15" i="13"/>
  <c r="G21" i="13" s="1"/>
  <c r="G25" i="13" s="1"/>
  <c r="F11" i="11" l="1"/>
  <c r="F19" i="11" s="1"/>
  <c r="H11" i="11"/>
  <c r="V11" i="11"/>
  <c r="F12" i="11"/>
  <c r="L12" i="11" s="1"/>
  <c r="V12" i="11"/>
  <c r="F13" i="11"/>
  <c r="L13" i="11" s="1"/>
  <c r="V13" i="11"/>
  <c r="F14" i="11"/>
  <c r="L14" i="11"/>
  <c r="V14" i="11"/>
  <c r="F15" i="11"/>
  <c r="L15" i="11"/>
  <c r="V15" i="11"/>
  <c r="F16" i="11"/>
  <c r="L16" i="11" s="1"/>
  <c r="V16" i="11"/>
  <c r="L17" i="11"/>
  <c r="V17" i="11"/>
  <c r="F18" i="11"/>
  <c r="L18" i="11"/>
  <c r="H18" i="11"/>
  <c r="V18" i="11"/>
  <c r="H19" i="11"/>
  <c r="P19" i="11"/>
  <c r="P8" i="11"/>
  <c r="R19" i="11"/>
  <c r="V19" i="11"/>
  <c r="F23" i="11"/>
  <c r="L23" i="11" s="1"/>
  <c r="V23" i="11"/>
  <c r="F24" i="11"/>
  <c r="L24" i="11"/>
  <c r="V24" i="11"/>
  <c r="F25" i="11"/>
  <c r="L25" i="11"/>
  <c r="V25" i="11"/>
  <c r="L26" i="11"/>
  <c r="V26" i="11"/>
  <c r="F27" i="11"/>
  <c r="L27" i="11"/>
  <c r="V27" i="11"/>
  <c r="F28" i="11"/>
  <c r="L28" i="11"/>
  <c r="H28" i="11"/>
  <c r="V28" i="11"/>
  <c r="P29" i="11"/>
  <c r="V29" i="11"/>
  <c r="W29" i="11"/>
  <c r="R29" i="11"/>
  <c r="F32" i="11"/>
  <c r="H32" i="11"/>
  <c r="L32" i="11" s="1"/>
  <c r="V32" i="11"/>
  <c r="F33" i="11"/>
  <c r="L33" i="11"/>
  <c r="V33" i="11"/>
  <c r="F34" i="11"/>
  <c r="L34" i="11"/>
  <c r="V34" i="11"/>
  <c r="F35" i="11"/>
  <c r="L35" i="11"/>
  <c r="V35" i="11"/>
  <c r="P36" i="11"/>
  <c r="R36" i="11"/>
  <c r="V36" i="11"/>
  <c r="F42" i="11"/>
  <c r="L42" i="11"/>
  <c r="V42" i="11"/>
  <c r="F43" i="11"/>
  <c r="L43" i="11"/>
  <c r="V43" i="11"/>
  <c r="F44" i="11"/>
  <c r="L44" i="11"/>
  <c r="V44" i="11"/>
  <c r="L45" i="11"/>
  <c r="V45" i="11"/>
  <c r="F46" i="11"/>
  <c r="L46" i="11"/>
  <c r="V46" i="11"/>
  <c r="F47" i="11"/>
  <c r="L47" i="11"/>
  <c r="V47" i="11"/>
  <c r="F48" i="11"/>
  <c r="L48" i="11" s="1"/>
  <c r="V48" i="11"/>
  <c r="L49" i="11"/>
  <c r="V49" i="11"/>
  <c r="F50" i="11"/>
  <c r="L50" i="11"/>
  <c r="V50" i="11"/>
  <c r="V51" i="11"/>
  <c r="H52" i="11"/>
  <c r="P52" i="11"/>
  <c r="V52" i="11"/>
  <c r="R52" i="11"/>
  <c r="R71" i="11"/>
  <c r="F55" i="11"/>
  <c r="L55" i="11"/>
  <c r="H55" i="11"/>
  <c r="P55" i="11"/>
  <c r="R55" i="11"/>
  <c r="R60" i="11"/>
  <c r="L56" i="11"/>
  <c r="V56" i="11"/>
  <c r="F57" i="11"/>
  <c r="L57" i="11"/>
  <c r="V57" i="11"/>
  <c r="L58" i="11"/>
  <c r="F59" i="11"/>
  <c r="F60" i="11" s="1"/>
  <c r="L60" i="11" s="1"/>
  <c r="L59" i="11"/>
  <c r="H59" i="11"/>
  <c r="V59" i="11"/>
  <c r="H60" i="11"/>
  <c r="P60" i="11"/>
  <c r="V60" i="11"/>
  <c r="Q60" i="11"/>
  <c r="F62" i="11"/>
  <c r="H62" i="11"/>
  <c r="H71" i="11"/>
  <c r="F65" i="11"/>
  <c r="L65" i="11"/>
  <c r="V65" i="11"/>
  <c r="F66" i="11"/>
  <c r="L66" i="11" s="1"/>
  <c r="V66" i="11"/>
  <c r="L67" i="11"/>
  <c r="V67" i="11"/>
  <c r="F68" i="11"/>
  <c r="L68" i="11"/>
  <c r="V68" i="11"/>
  <c r="H69" i="11"/>
  <c r="P69" i="11"/>
  <c r="V69" i="11"/>
  <c r="R69" i="11"/>
  <c r="E8" i="12"/>
  <c r="L8" i="12"/>
  <c r="E9" i="12"/>
  <c r="L9" i="12"/>
  <c r="B10" i="12"/>
  <c r="C10" i="12"/>
  <c r="C12" i="12"/>
  <c r="H8" i="12"/>
  <c r="H9" i="12"/>
  <c r="D10" i="12"/>
  <c r="E10" i="12"/>
  <c r="L10" i="12"/>
  <c r="E11" i="12"/>
  <c r="E12" i="12"/>
  <c r="D12" i="12"/>
  <c r="J16" i="12"/>
  <c r="J18" i="12"/>
  <c r="I28" i="12"/>
  <c r="H17" i="12"/>
  <c r="J17" i="12"/>
  <c r="L17" i="12"/>
  <c r="L18" i="12"/>
  <c r="L19" i="12"/>
  <c r="H28" i="12"/>
  <c r="J28" i="12" s="1"/>
  <c r="H29" i="12"/>
  <c r="E16" i="9"/>
  <c r="E22" i="9"/>
  <c r="E29" i="9"/>
  <c r="E34" i="9"/>
  <c r="E38" i="9"/>
  <c r="F16" i="9"/>
  <c r="G16" i="9"/>
  <c r="G22" i="9"/>
  <c r="G29" i="9"/>
  <c r="G34" i="9"/>
  <c r="G38" i="9"/>
  <c r="E21" i="9"/>
  <c r="G21" i="9"/>
  <c r="E28" i="9"/>
  <c r="G28" i="9"/>
  <c r="F36" i="11"/>
  <c r="H29" i="11"/>
  <c r="H18" i="12"/>
  <c r="F69" i="11"/>
  <c r="L69" i="11"/>
  <c r="F29" i="11"/>
  <c r="L29" i="11" s="1"/>
  <c r="J8" i="12"/>
  <c r="R8" i="11"/>
  <c r="R73" i="11"/>
  <c r="L62" i="11"/>
  <c r="V55" i="11"/>
  <c r="P71" i="11"/>
  <c r="J9" i="12"/>
  <c r="I29" i="12"/>
  <c r="J29" i="12"/>
  <c r="V71" i="11"/>
  <c r="P73" i="11"/>
  <c r="F8" i="11" l="1"/>
  <c r="L19" i="11"/>
  <c r="F52" i="11"/>
  <c r="L11" i="11"/>
  <c r="H36" i="11"/>
  <c r="F71" i="11" l="1"/>
  <c r="L71" i="11" s="1"/>
  <c r="L52" i="11"/>
  <c r="H8" i="11"/>
  <c r="L36" i="11"/>
</calcChain>
</file>

<file path=xl/sharedStrings.xml><?xml version="1.0" encoding="utf-8"?>
<sst xmlns="http://schemas.openxmlformats.org/spreadsheetml/2006/main" count="161" uniqueCount="136">
  <si>
    <t>(Em reais)</t>
  </si>
  <si>
    <t>Ativo</t>
  </si>
  <si>
    <t>Passivo</t>
  </si>
  <si>
    <t>Circulante</t>
  </si>
  <si>
    <t xml:space="preserve">   Fornecedores</t>
  </si>
  <si>
    <t xml:space="preserve">   Empréstimos e financiamentos</t>
  </si>
  <si>
    <t xml:space="preserve">   Contas a receber de clientes</t>
  </si>
  <si>
    <t xml:space="preserve">   Impostos e contribuições sociais a recolher</t>
  </si>
  <si>
    <t xml:space="preserve">   Depósitos judiciais</t>
  </si>
  <si>
    <t>Não Circulante</t>
  </si>
  <si>
    <t>Realizável a longo prazo</t>
  </si>
  <si>
    <t>Exigível a longo prazo</t>
  </si>
  <si>
    <t xml:space="preserve">   Créditos tributários</t>
  </si>
  <si>
    <t xml:space="preserve">   Provisão para contingências</t>
  </si>
  <si>
    <t>Permanente</t>
  </si>
  <si>
    <t>Patrimônio líquido</t>
  </si>
  <si>
    <t xml:space="preserve">   Imobilizado</t>
  </si>
  <si>
    <t xml:space="preserve">   Capital social realizado</t>
  </si>
  <si>
    <t xml:space="preserve">   Diferido</t>
  </si>
  <si>
    <t>Lucro bruto</t>
  </si>
  <si>
    <t xml:space="preserve">   Outras contas a receber</t>
  </si>
  <si>
    <t>Custo dos serviços prestados</t>
  </si>
  <si>
    <t xml:space="preserve">   Disponibilidades</t>
  </si>
  <si>
    <t>Nota</t>
  </si>
  <si>
    <t xml:space="preserve">   Estoques para consumo</t>
  </si>
  <si>
    <t xml:space="preserve">   Intangível</t>
  </si>
  <si>
    <t xml:space="preserve">   Provisões trabalhistas</t>
  </si>
  <si>
    <t>Receitas (despesas) operacionais</t>
  </si>
  <si>
    <t>CAPITAL SOCIAL - Movimentação na quantidade de ações</t>
  </si>
  <si>
    <t>Memória de cálculo da média ponderada do número de ações</t>
  </si>
  <si>
    <t>Exercício de 2009</t>
  </si>
  <si>
    <t>Data</t>
  </si>
  <si>
    <t>Ações emitidas</t>
  </si>
  <si>
    <t>Ações em tesouraria</t>
  </si>
  <si>
    <t>Ações totais com os acionistas</t>
  </si>
  <si>
    <t>Quantidade de ações</t>
  </si>
  <si>
    <t>Número de Dias %</t>
  </si>
  <si>
    <t>Média Ponderada de Ações</t>
  </si>
  <si>
    <t>Saldo no início do ano de 2009</t>
  </si>
  <si>
    <t>48 - 13,15 %</t>
  </si>
  <si>
    <t>Saldo no final do ano de 2009</t>
  </si>
  <si>
    <t>Saldo no final do ano de 2010</t>
  </si>
  <si>
    <t>Exercício de 2010</t>
  </si>
  <si>
    <t>365 - 100%</t>
  </si>
  <si>
    <t>92 - 25,21%</t>
  </si>
  <si>
    <t>Memória de cálculo do resultado por ação</t>
  </si>
  <si>
    <t>Ano</t>
  </si>
  <si>
    <t>Lucro (prejuízo) líquido do exercício em R$</t>
  </si>
  <si>
    <t>Resultado por ação</t>
  </si>
  <si>
    <t>Para nota explicativa</t>
  </si>
  <si>
    <t>Águas de Juturnaíba</t>
  </si>
  <si>
    <t>Não houve novas emissões de ações, sendo assim, foi utilizado o critério de "Cálculo do resultado</t>
  </si>
  <si>
    <t>por ação usando apenas ações ordinárias", onde o lucro liquido é dividido pela quantidade de ações</t>
  </si>
  <si>
    <t>pura e simplesmente</t>
  </si>
  <si>
    <t xml:space="preserve">Obs.: Foi utilizada a quantidade total de ações, ou seja, as ordinárias + preferenciais, uma vez </t>
  </si>
  <si>
    <t>que para a concessionária as ações preferenciais são apenas para prioridade no reembolso do capital,</t>
  </si>
  <si>
    <t>sem prêmio, em caso de dissolução ou liquidação da Companhia, participando no rateio do dividendo</t>
  </si>
  <si>
    <t>mínimo em igualdade de condições com as ações ordinárias, como consta no Capitulo 2, art.5º paragr.2º</t>
  </si>
  <si>
    <t>do estatuto social da empresa</t>
  </si>
  <si>
    <t>CAJ S/A</t>
  </si>
  <si>
    <t>Balanço Patrimonial em 31 de Dezembro de 2010</t>
  </si>
  <si>
    <t>Consolidado</t>
  </si>
  <si>
    <t>Controladora</t>
  </si>
  <si>
    <t>31/01/10</t>
  </si>
  <si>
    <t>31/12/09</t>
  </si>
  <si>
    <t>VARIAÇÕES</t>
  </si>
  <si>
    <t xml:space="preserve">   Imposto de renda e contr. social a recuperar</t>
  </si>
  <si>
    <t xml:space="preserve">   Despesas antecipadas</t>
  </si>
  <si>
    <t xml:space="preserve">  Dividendos a Receber</t>
  </si>
  <si>
    <t xml:space="preserve">   Outros créditos</t>
  </si>
  <si>
    <t xml:space="preserve">   Aplicações financeiras - vinculadas</t>
  </si>
  <si>
    <t xml:space="preserve">   Impostos Retidos por Orgão Público a Recuperar</t>
  </si>
  <si>
    <t xml:space="preserve">   Créditos com empresas ligadas</t>
  </si>
  <si>
    <t xml:space="preserve">   Investimento</t>
  </si>
  <si>
    <t xml:space="preserve">   Provisão de imposto de renda e contribuição social</t>
  </si>
  <si>
    <t xml:space="preserve">   Outorga</t>
  </si>
  <si>
    <t xml:space="preserve">   Obrigações com acionistas</t>
  </si>
  <si>
    <t xml:space="preserve">   Icms a devolver - clientes</t>
  </si>
  <si>
    <t xml:space="preserve">   Outros exigíveis ( Expurgado Déb c/ pessoas ligadas)</t>
  </si>
  <si>
    <t xml:space="preserve">   Débitos com Pessoal Ligadas</t>
  </si>
  <si>
    <t xml:space="preserve">   Adiantamentos de clientes</t>
  </si>
  <si>
    <t xml:space="preserve">   Obrigações c/obras futuras - TGS e CANF</t>
  </si>
  <si>
    <t xml:space="preserve">   Outras obrigações</t>
  </si>
  <si>
    <t>Participação de Minoritários</t>
  </si>
  <si>
    <t xml:space="preserve">   Reserva de lucros</t>
  </si>
  <si>
    <t xml:space="preserve">   Reserva de Reavaliação</t>
  </si>
  <si>
    <t xml:space="preserve">   Lucros acumulados</t>
  </si>
  <si>
    <t>Lucro antes da contribuição social e do imposto de renda</t>
  </si>
  <si>
    <t>(Em milhares de reais)</t>
  </si>
  <si>
    <t>CNPJ 02.013.199/0001-18</t>
  </si>
  <si>
    <t>CONCESSIONÁRIA ÁGUAS DE JUTURNAÍBA S.A.</t>
  </si>
  <si>
    <t>Custo de construção - ICPC 01</t>
  </si>
  <si>
    <t>Demonstrações dos resultados</t>
  </si>
  <si>
    <t>Receita líquida</t>
  </si>
  <si>
    <t xml:space="preserve">    Gerais e administrativas</t>
  </si>
  <si>
    <t xml:space="preserve">    Outras receitas operacionais</t>
  </si>
  <si>
    <t>Resultado operacional antes do resultado financeiro</t>
  </si>
  <si>
    <t>Receitas financeiras</t>
  </si>
  <si>
    <t>Despesas financeiras</t>
  </si>
  <si>
    <t>Operações com derivativos - líquidas</t>
  </si>
  <si>
    <t>9b</t>
  </si>
  <si>
    <t>Contribuição social e imposto de renda - corrente</t>
  </si>
  <si>
    <t>Contribuição social  e imposto de renda - diferido</t>
  </si>
  <si>
    <t xml:space="preserve">Lucro líquido por ação </t>
  </si>
  <si>
    <t>As notas explicativas são parte integrante das demonstrações contábeis.</t>
  </si>
  <si>
    <t>Exercícios findos em 31 de dezembro de 2017 e 2016</t>
  </si>
  <si>
    <t>Lucro líquido do exercício</t>
  </si>
  <si>
    <t>Exercícios findos em 31 de dezembro de 2015 e 2014</t>
  </si>
  <si>
    <t>Receita operacional bruta:</t>
  </si>
  <si>
    <t xml:space="preserve">   Prestação de serviços, líquida de cancelamentos</t>
  </si>
  <si>
    <t xml:space="preserve">   Receita de construção - ICPC 01</t>
  </si>
  <si>
    <t>Deduções da receita operacional bruta:</t>
  </si>
  <si>
    <t xml:space="preserve">   Tributos incidentes sobre o faturamento</t>
  </si>
  <si>
    <t xml:space="preserve">   Descontos concedidos</t>
  </si>
  <si>
    <t>Receita operacional líquida</t>
  </si>
  <si>
    <t xml:space="preserve">   Gerais e administrativas</t>
  </si>
  <si>
    <t xml:space="preserve">   Outras receitas (despesas) operacionais:</t>
  </si>
  <si>
    <t xml:space="preserve">      Perdas no recebimento de créditos</t>
  </si>
  <si>
    <t xml:space="preserve">      Provisão para contingências</t>
  </si>
  <si>
    <t xml:space="preserve">      Outorga</t>
  </si>
  <si>
    <t xml:space="preserve">      Outras</t>
  </si>
  <si>
    <t>Resultado operacional</t>
  </si>
  <si>
    <t>Resultado financeiro</t>
  </si>
  <si>
    <t xml:space="preserve">   Receitas financeiras</t>
  </si>
  <si>
    <t xml:space="preserve">   Despesas financeiras</t>
  </si>
  <si>
    <t xml:space="preserve">   Operações com derivativos - líquidas</t>
  </si>
  <si>
    <t>Outras receitas (despesas)</t>
  </si>
  <si>
    <t xml:space="preserve">  Outras receitas (despesas)</t>
  </si>
  <si>
    <t>Imposto de renda</t>
  </si>
  <si>
    <t>Contribuição social</t>
  </si>
  <si>
    <t>Imposto de renda diferido</t>
  </si>
  <si>
    <t>Contribuição social diferida</t>
  </si>
  <si>
    <t xml:space="preserve">  Contribuição social e imposto de renda - do exercício</t>
  </si>
  <si>
    <t xml:space="preserve">  Contribuição social e imposto de renda - diferidos</t>
  </si>
  <si>
    <t xml:space="preserve">Quantidade de ações </t>
  </si>
  <si>
    <t>Lucro por ação - em reais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</si>
</sst>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(* #,##0.00_);_(* \(#,##0.00\);_(* &quot;-&quot;??_);_(@_)"/>
    <numFmt numFmtId="165" formatCode="_(* #,##0_);_(* \(#,##0\);_(* &quot;-&quot;??_);_(@_)"/>
  </numFmts>
  <fonts count="49" x14ac:knownFonts="1">
    <font>
      <sz val="10"/>
      <name val="Arial"/>
    </font>
    <font>
      <sz val="10"/>
      <name val="Arial"/>
    </font>
    <font>
      <b/>
      <sz val="12"/>
      <name val="Times New Roman"/>
      <family val="1"/>
    </font>
    <font>
      <sz val="12"/>
      <name val="Times New Roman"/>
      <family val="1"/>
    </font>
    <font>
      <sz val="10"/>
      <color indexed="8"/>
      <name val="Arial"/>
      <family val="2"/>
    </font>
    <font>
      <sz val="10"/>
      <color indexed="9"/>
      <name val="Arial"/>
      <family val="2"/>
    </font>
    <font>
      <sz val="10"/>
      <color indexed="17"/>
      <name val="Arial"/>
      <family val="2"/>
    </font>
    <font>
      <b/>
      <sz val="10"/>
      <color indexed="52"/>
      <name val="Arial"/>
      <family val="2"/>
    </font>
    <font>
      <b/>
      <sz val="10"/>
      <color indexed="9"/>
      <name val="Arial"/>
      <family val="2"/>
    </font>
    <font>
      <sz val="10"/>
      <color indexed="52"/>
      <name val="Arial"/>
      <family val="2"/>
    </font>
    <font>
      <sz val="10"/>
      <color indexed="62"/>
      <name val="Arial"/>
      <family val="2"/>
    </font>
    <font>
      <sz val="10"/>
      <name val="Arial"/>
      <family val="2"/>
    </font>
    <font>
      <b/>
      <sz val="10"/>
      <color indexed="63"/>
      <name val="Arial"/>
      <family val="2"/>
    </font>
    <font>
      <sz val="10"/>
      <color indexed="10"/>
      <name val="Arial"/>
      <family val="2"/>
    </font>
    <font>
      <i/>
      <sz val="10"/>
      <color indexed="23"/>
      <name val="Arial"/>
      <family val="2"/>
    </font>
    <font>
      <b/>
      <sz val="18"/>
      <color indexed="56"/>
      <name val="Cambria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b/>
      <sz val="10"/>
      <color indexed="8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8"/>
      <color indexed="10"/>
      <name val="Arial"/>
      <family val="2"/>
    </font>
    <font>
      <b/>
      <i/>
      <sz val="10"/>
      <name val="Arial"/>
      <family val="2"/>
    </font>
    <font>
      <b/>
      <u/>
      <sz val="10"/>
      <name val="Arial"/>
      <family val="2"/>
    </font>
    <font>
      <sz val="8"/>
      <name val="Arial"/>
      <family val="2"/>
    </font>
    <font>
      <b/>
      <sz val="10"/>
      <color indexed="10"/>
      <name val="Arial"/>
      <family val="2"/>
    </font>
    <font>
      <sz val="10"/>
      <name val="Arial"/>
      <family val="2"/>
    </font>
    <font>
      <sz val="8"/>
      <name val="Courier New"/>
      <family val="3"/>
    </font>
    <font>
      <sz val="10"/>
      <name val="Arial"/>
      <family val="2"/>
    </font>
    <font>
      <u/>
      <sz val="12"/>
      <name val="Times New Roman"/>
      <family val="1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8"/>
      <color theme="3"/>
      <name val="Cambria"/>
      <family val="2"/>
      <scheme val="major"/>
    </font>
    <font>
      <b/>
      <sz val="18"/>
      <color theme="3"/>
      <name val="Cambria"/>
      <family val="2"/>
      <scheme val="major"/>
    </font>
    <font>
      <b/>
      <sz val="11"/>
      <color theme="1"/>
      <name val="Calibri"/>
      <family val="2"/>
      <scheme val="minor"/>
    </font>
  </fonts>
  <fills count="5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6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6EF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FFCC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double">
        <color indexed="64"/>
      </top>
      <bottom style="double">
        <color indexed="64"/>
      </bottom>
      <diagonal/>
    </border>
  </borders>
  <cellStyleXfs count="91">
    <xf numFmtId="0" fontId="0" fillId="0" borderId="0"/>
    <xf numFmtId="0" fontId="4" fillId="2" borderId="0" applyNumberFormat="0" applyBorder="0" applyAlignment="0" applyProtection="0"/>
    <xf numFmtId="0" fontId="31" fillId="23" borderId="0" applyNumberFormat="0" applyBorder="0" applyAlignment="0" applyProtection="0"/>
    <xf numFmtId="0" fontId="4" fillId="3" borderId="0" applyNumberFormat="0" applyBorder="0" applyAlignment="0" applyProtection="0"/>
    <xf numFmtId="0" fontId="31" fillId="24" borderId="0" applyNumberFormat="0" applyBorder="0" applyAlignment="0" applyProtection="0"/>
    <xf numFmtId="0" fontId="4" fillId="4" borderId="0" applyNumberFormat="0" applyBorder="0" applyAlignment="0" applyProtection="0"/>
    <xf numFmtId="0" fontId="31" fillId="25" borderId="0" applyNumberFormat="0" applyBorder="0" applyAlignment="0" applyProtection="0"/>
    <xf numFmtId="0" fontId="4" fillId="5" borderId="0" applyNumberFormat="0" applyBorder="0" applyAlignment="0" applyProtection="0"/>
    <xf numFmtId="0" fontId="31" fillId="26" borderId="0" applyNumberFormat="0" applyBorder="0" applyAlignment="0" applyProtection="0"/>
    <xf numFmtId="0" fontId="4" fillId="6" borderId="0" applyNumberFormat="0" applyBorder="0" applyAlignment="0" applyProtection="0"/>
    <xf numFmtId="0" fontId="31" fillId="27" borderId="0" applyNumberFormat="0" applyBorder="0" applyAlignment="0" applyProtection="0"/>
    <xf numFmtId="0" fontId="4" fillId="7" borderId="0" applyNumberFormat="0" applyBorder="0" applyAlignment="0" applyProtection="0"/>
    <xf numFmtId="0" fontId="31" fillId="28" borderId="0" applyNumberFormat="0" applyBorder="0" applyAlignment="0" applyProtection="0"/>
    <xf numFmtId="0" fontId="4" fillId="8" borderId="0" applyNumberFormat="0" applyBorder="0" applyAlignment="0" applyProtection="0"/>
    <xf numFmtId="0" fontId="31" fillId="29" borderId="0" applyNumberFormat="0" applyBorder="0" applyAlignment="0" applyProtection="0"/>
    <xf numFmtId="0" fontId="4" fillId="9" borderId="0" applyNumberFormat="0" applyBorder="0" applyAlignment="0" applyProtection="0"/>
    <xf numFmtId="0" fontId="31" fillId="30" borderId="0" applyNumberFormat="0" applyBorder="0" applyAlignment="0" applyProtection="0"/>
    <xf numFmtId="0" fontId="4" fillId="10" borderId="0" applyNumberFormat="0" applyBorder="0" applyAlignment="0" applyProtection="0"/>
    <xf numFmtId="0" fontId="31" fillId="31" borderId="0" applyNumberFormat="0" applyBorder="0" applyAlignment="0" applyProtection="0"/>
    <xf numFmtId="0" fontId="4" fillId="5" borderId="0" applyNumberFormat="0" applyBorder="0" applyAlignment="0" applyProtection="0"/>
    <xf numFmtId="0" fontId="31" fillId="32" borderId="0" applyNumberFormat="0" applyBorder="0" applyAlignment="0" applyProtection="0"/>
    <xf numFmtId="0" fontId="4" fillId="8" borderId="0" applyNumberFormat="0" applyBorder="0" applyAlignment="0" applyProtection="0"/>
    <xf numFmtId="0" fontId="31" fillId="33" borderId="0" applyNumberFormat="0" applyBorder="0" applyAlignment="0" applyProtection="0"/>
    <xf numFmtId="0" fontId="4" fillId="11" borderId="0" applyNumberFormat="0" applyBorder="0" applyAlignment="0" applyProtection="0"/>
    <xf numFmtId="0" fontId="31" fillId="34" borderId="0" applyNumberFormat="0" applyBorder="0" applyAlignment="0" applyProtection="0"/>
    <xf numFmtId="0" fontId="5" fillId="12" borderId="0" applyNumberFormat="0" applyBorder="0" applyAlignment="0" applyProtection="0"/>
    <xf numFmtId="0" fontId="32" fillId="35" borderId="0" applyNumberFormat="0" applyBorder="0" applyAlignment="0" applyProtection="0"/>
    <xf numFmtId="0" fontId="5" fillId="9" borderId="0" applyNumberFormat="0" applyBorder="0" applyAlignment="0" applyProtection="0"/>
    <xf numFmtId="0" fontId="32" fillId="36" borderId="0" applyNumberFormat="0" applyBorder="0" applyAlignment="0" applyProtection="0"/>
    <xf numFmtId="0" fontId="5" fillId="10" borderId="0" applyNumberFormat="0" applyBorder="0" applyAlignment="0" applyProtection="0"/>
    <xf numFmtId="0" fontId="32" fillId="37" borderId="0" applyNumberFormat="0" applyBorder="0" applyAlignment="0" applyProtection="0"/>
    <xf numFmtId="0" fontId="5" fillId="13" borderId="0" applyNumberFormat="0" applyBorder="0" applyAlignment="0" applyProtection="0"/>
    <xf numFmtId="0" fontId="32" fillId="38" borderId="0" applyNumberFormat="0" applyBorder="0" applyAlignment="0" applyProtection="0"/>
    <xf numFmtId="0" fontId="5" fillId="14" borderId="0" applyNumberFormat="0" applyBorder="0" applyAlignment="0" applyProtection="0"/>
    <xf numFmtId="0" fontId="32" fillId="39" borderId="0" applyNumberFormat="0" applyBorder="0" applyAlignment="0" applyProtection="0"/>
    <xf numFmtId="0" fontId="5" fillId="15" borderId="0" applyNumberFormat="0" applyBorder="0" applyAlignment="0" applyProtection="0"/>
    <xf numFmtId="0" fontId="32" fillId="40" borderId="0" applyNumberFormat="0" applyBorder="0" applyAlignment="0" applyProtection="0"/>
    <xf numFmtId="0" fontId="6" fillId="4" borderId="0" applyNumberFormat="0" applyBorder="0" applyAlignment="0" applyProtection="0"/>
    <xf numFmtId="0" fontId="33" fillId="41" borderId="0" applyNumberFormat="0" applyBorder="0" applyAlignment="0" applyProtection="0"/>
    <xf numFmtId="0" fontId="7" fillId="16" borderId="1" applyNumberFormat="0" applyAlignment="0" applyProtection="0"/>
    <xf numFmtId="0" fontId="34" fillId="42" borderId="15" applyNumberFormat="0" applyAlignment="0" applyProtection="0"/>
    <xf numFmtId="0" fontId="8" fillId="17" borderId="2" applyNumberFormat="0" applyAlignment="0" applyProtection="0"/>
    <xf numFmtId="0" fontId="35" fillId="43" borderId="16" applyNumberFormat="0" applyAlignment="0" applyProtection="0"/>
    <xf numFmtId="0" fontId="9" fillId="0" borderId="3" applyNumberFormat="0" applyFill="0" applyAlignment="0" applyProtection="0"/>
    <xf numFmtId="0" fontId="36" fillId="0" borderId="17" applyNumberFormat="0" applyFill="0" applyAlignment="0" applyProtection="0"/>
    <xf numFmtId="0" fontId="5" fillId="18" borderId="0" applyNumberFormat="0" applyBorder="0" applyAlignment="0" applyProtection="0"/>
    <xf numFmtId="0" fontId="32" fillId="44" borderId="0" applyNumberFormat="0" applyBorder="0" applyAlignment="0" applyProtection="0"/>
    <xf numFmtId="0" fontId="5" fillId="19" borderId="0" applyNumberFormat="0" applyBorder="0" applyAlignment="0" applyProtection="0"/>
    <xf numFmtId="0" fontId="32" fillId="45" borderId="0" applyNumberFormat="0" applyBorder="0" applyAlignment="0" applyProtection="0"/>
    <xf numFmtId="0" fontId="5" fillId="20" borderId="0" applyNumberFormat="0" applyBorder="0" applyAlignment="0" applyProtection="0"/>
    <xf numFmtId="0" fontId="32" fillId="46" borderId="0" applyNumberFormat="0" applyBorder="0" applyAlignment="0" applyProtection="0"/>
    <xf numFmtId="0" fontId="5" fillId="13" borderId="0" applyNumberFormat="0" applyBorder="0" applyAlignment="0" applyProtection="0"/>
    <xf numFmtId="0" fontId="32" fillId="47" borderId="0" applyNumberFormat="0" applyBorder="0" applyAlignment="0" applyProtection="0"/>
    <xf numFmtId="0" fontId="5" fillId="14" borderId="0" applyNumberFormat="0" applyBorder="0" applyAlignment="0" applyProtection="0"/>
    <xf numFmtId="0" fontId="32" fillId="48" borderId="0" applyNumberFormat="0" applyBorder="0" applyAlignment="0" applyProtection="0"/>
    <xf numFmtId="0" fontId="5" fillId="21" borderId="0" applyNumberFormat="0" applyBorder="0" applyAlignment="0" applyProtection="0"/>
    <xf numFmtId="0" fontId="32" fillId="49" borderId="0" applyNumberFormat="0" applyBorder="0" applyAlignment="0" applyProtection="0"/>
    <xf numFmtId="0" fontId="10" fillId="7" borderId="1" applyNumberFormat="0" applyAlignment="0" applyProtection="0"/>
    <xf numFmtId="0" fontId="37" fillId="50" borderId="15" applyNumberFormat="0" applyAlignment="0" applyProtection="0"/>
    <xf numFmtId="0" fontId="38" fillId="51" borderId="0" applyNumberFormat="0" applyBorder="0" applyAlignment="0" applyProtection="0"/>
    <xf numFmtId="0" fontId="39" fillId="52" borderId="0" applyNumberFormat="0" applyBorder="0" applyAlignment="0" applyProtection="0"/>
    <xf numFmtId="0" fontId="28" fillId="0" borderId="0" applyNumberFormat="0" applyFill="0" applyBorder="0" applyAlignment="0" applyProtection="0"/>
    <xf numFmtId="0" fontId="31" fillId="0" borderId="0"/>
    <xf numFmtId="0" fontId="11" fillId="22" borderId="4" applyNumberFormat="0" applyFont="0" applyAlignment="0" applyProtection="0"/>
    <xf numFmtId="0" fontId="31" fillId="53" borderId="18" applyNumberFormat="0" applyFont="0" applyAlignment="0" applyProtection="0"/>
    <xf numFmtId="9" fontId="1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9" fillId="0" borderId="0" applyFont="0" applyFill="0" applyBorder="0" applyAlignment="0" applyProtection="0"/>
    <xf numFmtId="0" fontId="12" fillId="16" borderId="5" applyNumberFormat="0" applyAlignment="0" applyProtection="0"/>
    <xf numFmtId="0" fontId="40" fillId="42" borderId="19" applyNumberFormat="0" applyAlignment="0" applyProtection="0"/>
    <xf numFmtId="0" fontId="13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6" applyNumberFormat="0" applyFill="0" applyAlignment="0" applyProtection="0"/>
    <xf numFmtId="0" fontId="43" fillId="0" borderId="20" applyNumberFormat="0" applyFill="0" applyAlignment="0" applyProtection="0"/>
    <xf numFmtId="0" fontId="17" fillId="0" borderId="7" applyNumberFormat="0" applyFill="0" applyAlignment="0" applyProtection="0"/>
    <xf numFmtId="0" fontId="44" fillId="0" borderId="21" applyNumberFormat="0" applyFill="0" applyAlignment="0" applyProtection="0"/>
    <xf numFmtId="0" fontId="18" fillId="0" borderId="8" applyNumberFormat="0" applyFill="0" applyAlignment="0" applyProtection="0"/>
    <xf numFmtId="0" fontId="45" fillId="0" borderId="22" applyNumberFormat="0" applyFill="0" applyAlignment="0" applyProtection="0"/>
    <xf numFmtId="0" fontId="18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19" fillId="0" borderId="9" applyNumberFormat="0" applyFill="0" applyAlignment="0" applyProtection="0"/>
    <xf numFmtId="0" fontId="48" fillId="0" borderId="23" applyNumberFormat="0" applyFill="0" applyAlignment="0" applyProtection="0"/>
    <xf numFmtId="164" fontId="1" fillId="0" borderId="0" applyFont="0" applyFill="0" applyBorder="0" applyAlignment="0" applyProtection="0"/>
    <xf numFmtId="43" fontId="31" fillId="0" borderId="0" applyFont="0" applyFill="0" applyBorder="0" applyAlignment="0" applyProtection="0"/>
    <xf numFmtId="164" fontId="27" fillId="0" borderId="0" applyFont="0" applyFill="0" applyBorder="0" applyAlignment="0" applyProtection="0"/>
    <xf numFmtId="43" fontId="29" fillId="0" borderId="0" applyFont="0" applyFill="0" applyBorder="0" applyAlignment="0" applyProtection="0"/>
  </cellStyleXfs>
  <cellXfs count="130">
    <xf numFmtId="0" fontId="0" fillId="0" borderId="0" xfId="0"/>
    <xf numFmtId="0" fontId="2" fillId="0" borderId="0" xfId="0" applyFont="1" applyAlignment="1">
      <alignment horizontal="center"/>
    </xf>
    <xf numFmtId="0" fontId="3" fillId="0" borderId="0" xfId="0" applyFont="1"/>
    <xf numFmtId="37" fontId="3" fillId="0" borderId="0" xfId="0" applyNumberFormat="1" applyFont="1"/>
    <xf numFmtId="0" fontId="3" fillId="0" borderId="0" xfId="0" applyFont="1" applyBorder="1"/>
    <xf numFmtId="37" fontId="3" fillId="0" borderId="0" xfId="0" applyNumberFormat="1" applyFont="1" applyBorder="1"/>
    <xf numFmtId="37" fontId="3" fillId="0" borderId="10" xfId="0" applyNumberFormat="1" applyFont="1" applyBorder="1"/>
    <xf numFmtId="37" fontId="3" fillId="0" borderId="11" xfId="0" applyNumberFormat="1" applyFont="1" applyBorder="1"/>
    <xf numFmtId="164" fontId="3" fillId="0" borderId="0" xfId="87" applyFont="1" applyBorder="1"/>
    <xf numFmtId="0" fontId="3" fillId="0" borderId="0" xfId="0" applyFont="1" applyAlignment="1">
      <alignment horizontal="center"/>
    </xf>
    <xf numFmtId="165" fontId="3" fillId="0" borderId="10" xfId="87" applyNumberFormat="1" applyFont="1" applyBorder="1"/>
    <xf numFmtId="164" fontId="3" fillId="0" borderId="0" xfId="87" applyFont="1"/>
    <xf numFmtId="165" fontId="3" fillId="0" borderId="0" xfId="87" applyNumberFormat="1" applyFont="1" applyBorder="1"/>
    <xf numFmtId="0" fontId="3" fillId="0" borderId="0" xfId="0" applyFont="1" applyFill="1"/>
    <xf numFmtId="37" fontId="3" fillId="0" borderId="0" xfId="0" applyNumberFormat="1" applyFont="1" applyFill="1"/>
    <xf numFmtId="0" fontId="3" fillId="0" borderId="0" xfId="0" applyFont="1" applyFill="1" applyBorder="1"/>
    <xf numFmtId="165" fontId="3" fillId="0" borderId="0" xfId="87" applyNumberFormat="1" applyFont="1"/>
    <xf numFmtId="165" fontId="3" fillId="0" borderId="10" xfId="87" applyNumberFormat="1" applyFont="1" applyFill="1" applyBorder="1"/>
    <xf numFmtId="37" fontId="3" fillId="0" borderId="12" xfId="0" applyNumberFormat="1" applyFont="1" applyBorder="1"/>
    <xf numFmtId="37" fontId="3" fillId="0" borderId="0" xfId="87" applyNumberFormat="1" applyFont="1"/>
    <xf numFmtId="165" fontId="3" fillId="0" borderId="0" xfId="87" applyNumberFormat="1" applyFont="1" applyFill="1"/>
    <xf numFmtId="165" fontId="3" fillId="0" borderId="0" xfId="87" applyNumberFormat="1" applyFont="1" applyFill="1" applyBorder="1"/>
    <xf numFmtId="165" fontId="3" fillId="0" borderId="0" xfId="0" applyNumberFormat="1" applyFont="1"/>
    <xf numFmtId="165" fontId="3" fillId="0" borderId="13" xfId="87" applyNumberFormat="1" applyFont="1" applyFill="1" applyBorder="1"/>
    <xf numFmtId="0" fontId="3" fillId="0" borderId="0" xfId="0" applyFont="1" applyFill="1" applyAlignment="1">
      <alignment horizontal="center"/>
    </xf>
    <xf numFmtId="0" fontId="20" fillId="0" borderId="0" xfId="0" applyFont="1" applyAlignment="1"/>
    <xf numFmtId="0" fontId="21" fillId="0" borderId="0" xfId="0" applyFont="1"/>
    <xf numFmtId="0" fontId="22" fillId="0" borderId="0" xfId="0" applyFont="1"/>
    <xf numFmtId="0" fontId="23" fillId="0" borderId="0" xfId="0" applyFont="1"/>
    <xf numFmtId="0" fontId="21" fillId="0" borderId="0" xfId="0" applyFont="1" applyAlignment="1">
      <alignment horizontal="center"/>
    </xf>
    <xf numFmtId="0" fontId="21" fillId="0" borderId="14" xfId="0" applyFont="1" applyBorder="1"/>
    <xf numFmtId="0" fontId="0" fillId="0" borderId="14" xfId="0" applyBorder="1"/>
    <xf numFmtId="14" fontId="0" fillId="0" borderId="14" xfId="0" applyNumberFormat="1" applyBorder="1"/>
    <xf numFmtId="3" fontId="0" fillId="0" borderId="14" xfId="0" applyNumberFormat="1" applyBorder="1" applyAlignment="1">
      <alignment horizontal="center"/>
    </xf>
    <xf numFmtId="0" fontId="0" fillId="0" borderId="14" xfId="0" applyBorder="1" applyAlignment="1">
      <alignment horizontal="center"/>
    </xf>
    <xf numFmtId="3" fontId="0" fillId="0" borderId="14" xfId="0" applyNumberFormat="1" applyBorder="1" applyAlignment="1">
      <alignment horizontal="right"/>
    </xf>
    <xf numFmtId="14" fontId="0" fillId="0" borderId="0" xfId="0" applyNumberFormat="1"/>
    <xf numFmtId="164" fontId="0" fillId="0" borderId="14" xfId="87" applyFont="1" applyBorder="1"/>
    <xf numFmtId="3" fontId="0" fillId="0" borderId="14" xfId="0" applyNumberFormat="1" applyBorder="1"/>
    <xf numFmtId="164" fontId="0" fillId="0" borderId="0" xfId="87" applyFont="1"/>
    <xf numFmtId="3" fontId="21" fillId="0" borderId="14" xfId="0" applyNumberFormat="1" applyFont="1" applyBorder="1" applyAlignment="1">
      <alignment horizontal="center"/>
    </xf>
    <xf numFmtId="164" fontId="0" fillId="0" borderId="14" xfId="87" applyFont="1" applyBorder="1" applyAlignment="1">
      <alignment horizontal="center"/>
    </xf>
    <xf numFmtId="3" fontId="21" fillId="0" borderId="14" xfId="0" applyNumberFormat="1" applyFont="1" applyBorder="1" applyAlignment="1">
      <alignment horizontal="right"/>
    </xf>
    <xf numFmtId="2" fontId="0" fillId="0" borderId="0" xfId="0" applyNumberFormat="1"/>
    <xf numFmtId="37" fontId="0" fillId="0" borderId="14" xfId="0" applyNumberFormat="1" applyBorder="1" applyAlignment="1">
      <alignment horizontal="center"/>
    </xf>
    <xf numFmtId="39" fontId="0" fillId="0" borderId="14" xfId="0" applyNumberFormat="1" applyBorder="1"/>
    <xf numFmtId="4" fontId="0" fillId="0" borderId="14" xfId="0" applyNumberFormat="1" applyBorder="1"/>
    <xf numFmtId="0" fontId="24" fillId="0" borderId="0" xfId="0" applyFont="1" applyAlignment="1">
      <alignment horizontal="center"/>
    </xf>
    <xf numFmtId="37" fontId="0" fillId="0" borderId="0" xfId="0" applyNumberFormat="1" applyAlignment="1">
      <alignment horizontal="center"/>
    </xf>
    <xf numFmtId="3" fontId="0" fillId="0" borderId="0" xfId="0" applyNumberFormat="1" applyAlignment="1">
      <alignment horizontal="center"/>
    </xf>
    <xf numFmtId="39" fontId="0" fillId="0" borderId="0" xfId="0" applyNumberFormat="1" applyAlignment="1">
      <alignment horizontal="center"/>
    </xf>
    <xf numFmtId="4" fontId="0" fillId="0" borderId="0" xfId="0" applyNumberFormat="1" applyAlignment="1">
      <alignment horizontal="center"/>
    </xf>
    <xf numFmtId="0" fontId="26" fillId="0" borderId="0" xfId="0" applyFont="1"/>
    <xf numFmtId="14" fontId="26" fillId="0" borderId="14" xfId="0" applyNumberFormat="1" applyFont="1" applyBorder="1"/>
    <xf numFmtId="3" fontId="26" fillId="0" borderId="14" xfId="0" applyNumberFormat="1" applyFont="1" applyBorder="1" applyAlignment="1">
      <alignment horizontal="center"/>
    </xf>
    <xf numFmtId="0" fontId="26" fillId="0" borderId="14" xfId="0" applyFont="1" applyBorder="1" applyAlignment="1">
      <alignment horizontal="center"/>
    </xf>
    <xf numFmtId="3" fontId="26" fillId="0" borderId="14" xfId="0" applyNumberFormat="1" applyFont="1" applyBorder="1" applyAlignment="1">
      <alignment horizontal="right"/>
    </xf>
    <xf numFmtId="14" fontId="26" fillId="0" borderId="0" xfId="0" applyNumberFormat="1" applyFont="1"/>
    <xf numFmtId="2" fontId="21" fillId="0" borderId="0" xfId="0" applyNumberFormat="1" applyFont="1"/>
    <xf numFmtId="0" fontId="3" fillId="0" borderId="0" xfId="0" applyFont="1" applyAlignment="1">
      <alignment horizontal="center" vertical="center"/>
    </xf>
    <xf numFmtId="164" fontId="3" fillId="0" borderId="0" xfId="0" applyNumberFormat="1" applyFont="1"/>
    <xf numFmtId="164" fontId="3" fillId="0" borderId="10" xfId="87" applyFont="1" applyBorder="1"/>
    <xf numFmtId="165" fontId="3" fillId="0" borderId="11" xfId="87" applyNumberFormat="1" applyFont="1" applyFill="1" applyBorder="1"/>
    <xf numFmtId="37" fontId="2" fillId="0" borderId="0" xfId="0" applyNumberFormat="1" applyFont="1" applyAlignment="1">
      <alignment horizontal="center"/>
    </xf>
    <xf numFmtId="37" fontId="2" fillId="0" borderId="0" xfId="0" applyNumberFormat="1" applyFont="1" applyBorder="1" applyAlignment="1">
      <alignment horizontal="center"/>
    </xf>
    <xf numFmtId="164" fontId="2" fillId="0" borderId="0" xfId="87" applyFont="1" applyAlignment="1">
      <alignment horizontal="center"/>
    </xf>
    <xf numFmtId="164" fontId="2" fillId="0" borderId="0" xfId="87" applyFont="1" applyBorder="1" applyAlignment="1">
      <alignment horizontal="center"/>
    </xf>
    <xf numFmtId="1" fontId="3" fillId="0" borderId="0" xfId="0" applyNumberFormat="1" applyFont="1" applyAlignment="1">
      <alignment horizontal="center"/>
    </xf>
    <xf numFmtId="49" fontId="3" fillId="0" borderId="10" xfId="87" applyNumberFormat="1" applyFont="1" applyBorder="1" applyAlignment="1">
      <alignment horizontal="center"/>
    </xf>
    <xf numFmtId="49" fontId="3" fillId="0" borderId="0" xfId="87" applyNumberFormat="1" applyFont="1" applyBorder="1" applyAlignment="1">
      <alignment horizontal="center"/>
    </xf>
    <xf numFmtId="37" fontId="3" fillId="0" borderId="0" xfId="87" applyNumberFormat="1" applyFont="1" applyBorder="1" applyAlignment="1">
      <alignment horizontal="center"/>
    </xf>
    <xf numFmtId="37" fontId="3" fillId="0" borderId="0" xfId="0" applyNumberFormat="1" applyFont="1" applyAlignment="1">
      <alignment horizontal="center"/>
    </xf>
    <xf numFmtId="14" fontId="3" fillId="0" borderId="10" xfId="87" applyNumberFormat="1" applyFont="1" applyBorder="1" applyAlignment="1">
      <alignment horizontal="center"/>
    </xf>
    <xf numFmtId="164" fontId="3" fillId="0" borderId="0" xfId="87" applyFont="1" applyBorder="1" applyAlignment="1">
      <alignment horizontal="center"/>
    </xf>
    <xf numFmtId="164" fontId="3" fillId="0" borderId="10" xfId="87" applyFont="1" applyBorder="1" applyAlignment="1">
      <alignment horizontal="center"/>
    </xf>
    <xf numFmtId="37" fontId="3" fillId="0" borderId="0" xfId="87" applyNumberFormat="1" applyFont="1" applyBorder="1"/>
    <xf numFmtId="9" fontId="3" fillId="0" borderId="0" xfId="65" applyFont="1"/>
    <xf numFmtId="3" fontId="3" fillId="0" borderId="0" xfId="0" applyNumberFormat="1" applyFont="1"/>
    <xf numFmtId="37" fontId="3" fillId="0" borderId="11" xfId="87" applyNumberFormat="1" applyFont="1" applyBorder="1"/>
    <xf numFmtId="164" fontId="3" fillId="0" borderId="11" xfId="87" applyFont="1" applyBorder="1"/>
    <xf numFmtId="9" fontId="3" fillId="0" borderId="0" xfId="0" applyNumberFormat="1" applyFont="1"/>
    <xf numFmtId="37" fontId="3" fillId="0" borderId="0" xfId="0" applyNumberFormat="1" applyFont="1" applyAlignment="1">
      <alignment horizontal="center" vertical="center"/>
    </xf>
    <xf numFmtId="164" fontId="3" fillId="0" borderId="0" xfId="87" applyFont="1" applyAlignment="1">
      <alignment horizontal="center" vertical="center"/>
    </xf>
    <xf numFmtId="164" fontId="3" fillId="0" borderId="0" xfId="87" applyFont="1" applyAlignment="1">
      <alignment horizontal="right" vertical="center"/>
    </xf>
    <xf numFmtId="37" fontId="3" fillId="0" borderId="10" xfId="87" applyNumberFormat="1" applyFont="1" applyBorder="1"/>
    <xf numFmtId="164" fontId="3" fillId="0" borderId="12" xfId="87" applyFont="1" applyBorder="1"/>
    <xf numFmtId="165" fontId="3" fillId="0" borderId="13" xfId="87" applyNumberFormat="1" applyFont="1" applyBorder="1"/>
    <xf numFmtId="165" fontId="3" fillId="0" borderId="0" xfId="87" applyNumberFormat="1" applyFont="1" applyFill="1" applyBorder="1" applyAlignment="1">
      <alignment horizontal="right"/>
    </xf>
    <xf numFmtId="164" fontId="3" fillId="0" borderId="0" xfId="87" applyNumberFormat="1" applyFont="1" applyFill="1" applyBorder="1"/>
    <xf numFmtId="165" fontId="3" fillId="0" borderId="0" xfId="0" applyNumberFormat="1" applyFont="1" applyFill="1"/>
    <xf numFmtId="165" fontId="3" fillId="0" borderId="12" xfId="87" applyNumberFormat="1" applyFont="1" applyFill="1" applyBorder="1"/>
    <xf numFmtId="0" fontId="2" fillId="0" borderId="0" xfId="0" applyFont="1" applyFill="1"/>
    <xf numFmtId="37" fontId="2" fillId="0" borderId="0" xfId="0" applyNumberFormat="1" applyFont="1" applyFill="1"/>
    <xf numFmtId="0" fontId="3" fillId="0" borderId="10" xfId="0" applyFont="1" applyFill="1" applyBorder="1" applyAlignment="1">
      <alignment horizontal="center"/>
    </xf>
    <xf numFmtId="49" fontId="3" fillId="0" borderId="0" xfId="0" applyNumberFormat="1" applyFont="1" applyFill="1"/>
    <xf numFmtId="0" fontId="3" fillId="0" borderId="0" xfId="0" applyFont="1" applyFill="1" applyBorder="1" applyAlignment="1">
      <alignment horizontal="center"/>
    </xf>
    <xf numFmtId="164" fontId="3" fillId="0" borderId="0" xfId="87" applyFont="1" applyFill="1"/>
    <xf numFmtId="0" fontId="3" fillId="0" borderId="0" xfId="0" applyFont="1" applyFill="1" applyAlignment="1"/>
    <xf numFmtId="37" fontId="3" fillId="0" borderId="0" xfId="0" applyNumberFormat="1" applyFont="1" applyFill="1" applyAlignment="1"/>
    <xf numFmtId="164" fontId="3" fillId="0" borderId="13" xfId="87" applyNumberFormat="1" applyFont="1" applyBorder="1"/>
    <xf numFmtId="0" fontId="3" fillId="0" borderId="10" xfId="87" applyNumberFormat="1" applyFont="1" applyBorder="1" applyAlignment="1">
      <alignment horizontal="center"/>
    </xf>
    <xf numFmtId="0" fontId="3" fillId="0" borderId="0" xfId="0" applyNumberFormat="1" applyFont="1" applyFill="1"/>
    <xf numFmtId="0" fontId="30" fillId="0" borderId="0" xfId="0" applyFont="1" applyFill="1"/>
    <xf numFmtId="0" fontId="3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/>
    </xf>
    <xf numFmtId="0" fontId="21" fillId="0" borderId="14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21" fillId="0" borderId="14" xfId="0" applyFont="1" applyBorder="1" applyAlignment="1">
      <alignment horizontal="center" vertical="center"/>
    </xf>
    <xf numFmtId="0" fontId="20" fillId="0" borderId="0" xfId="0" applyFont="1" applyAlignment="1">
      <alignment horizontal="center"/>
    </xf>
    <xf numFmtId="37" fontId="2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/>
    <xf numFmtId="0" fontId="2" fillId="0" borderId="0" xfId="0" applyFont="1"/>
    <xf numFmtId="1" fontId="3" fillId="0" borderId="10" xfId="87" applyNumberFormat="1" applyFont="1" applyBorder="1" applyAlignment="1">
      <alignment horizontal="center"/>
    </xf>
    <xf numFmtId="1" fontId="3" fillId="0" borderId="0" xfId="87" applyNumberFormat="1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37" fontId="3" fillId="0" borderId="0" xfId="0" applyNumberFormat="1" applyFont="1" applyFill="1" applyBorder="1" applyAlignment="1">
      <alignment horizontal="right"/>
    </xf>
    <xf numFmtId="37" fontId="3" fillId="0" borderId="0" xfId="0" applyNumberFormat="1" applyFont="1" applyFill="1" applyBorder="1"/>
    <xf numFmtId="39" fontId="3" fillId="0" borderId="0" xfId="0" applyNumberFormat="1" applyFont="1" applyFill="1" applyBorder="1" applyAlignment="1">
      <alignment horizontal="center"/>
    </xf>
    <xf numFmtId="37" fontId="3" fillId="0" borderId="10" xfId="0" applyNumberFormat="1" applyFont="1" applyFill="1" applyBorder="1" applyAlignment="1">
      <alignment horizontal="right"/>
    </xf>
    <xf numFmtId="164" fontId="3" fillId="0" borderId="0" xfId="87" applyFont="1" applyFill="1" applyBorder="1"/>
    <xf numFmtId="165" fontId="3" fillId="0" borderId="0" xfId="0" applyNumberFormat="1" applyFont="1" applyFill="1" applyBorder="1"/>
    <xf numFmtId="37" fontId="3" fillId="0" borderId="10" xfId="0" applyNumberFormat="1" applyFont="1" applyFill="1" applyBorder="1"/>
    <xf numFmtId="37" fontId="3" fillId="0" borderId="13" xfId="0" applyNumberFormat="1" applyFont="1" applyBorder="1"/>
    <xf numFmtId="165" fontId="3" fillId="0" borderId="12" xfId="87" applyNumberFormat="1" applyFont="1" applyBorder="1"/>
    <xf numFmtId="37" fontId="3" fillId="0" borderId="24" xfId="0" applyNumberFormat="1" applyFont="1" applyFill="1" applyBorder="1"/>
    <xf numFmtId="164" fontId="3" fillId="0" borderId="13" xfId="87" applyNumberFormat="1" applyFont="1" applyFill="1" applyBorder="1"/>
    <xf numFmtId="39" fontId="3" fillId="0" borderId="24" xfId="0" applyNumberFormat="1" applyFont="1" applyFill="1" applyBorder="1"/>
    <xf numFmtId="0" fontId="3" fillId="0" borderId="0" xfId="0" applyFont="1" applyAlignment="1">
      <alignment horizontal="center"/>
    </xf>
    <xf numFmtId="0" fontId="3" fillId="0" borderId="0" xfId="0" applyFont="1" applyAlignment="1"/>
  </cellXfs>
  <cellStyles count="91">
    <cellStyle name="20% - Ênfase1" xfId="1" builtinId="30" customBuiltin="1"/>
    <cellStyle name="20% - Ênfase1 2" xfId="2"/>
    <cellStyle name="20% - Ênfase2" xfId="3" builtinId="34" customBuiltin="1"/>
    <cellStyle name="20% - Ênfase2 2" xfId="4"/>
    <cellStyle name="20% - Ênfase3" xfId="5" builtinId="38" customBuiltin="1"/>
    <cellStyle name="20% - Ênfase3 2" xfId="6"/>
    <cellStyle name="20% - Ênfase4" xfId="7" builtinId="42" customBuiltin="1"/>
    <cellStyle name="20% - Ênfase4 2" xfId="8"/>
    <cellStyle name="20% - Ênfase5" xfId="9" builtinId="46" customBuiltin="1"/>
    <cellStyle name="20% - Ênfase5 2" xfId="10"/>
    <cellStyle name="20% - Ênfase6" xfId="11" builtinId="50" customBuiltin="1"/>
    <cellStyle name="20% - Ênfase6 2" xfId="12"/>
    <cellStyle name="40% - Ênfase1" xfId="13" builtinId="31" customBuiltin="1"/>
    <cellStyle name="40% - Ênfase1 2" xfId="14"/>
    <cellStyle name="40% - Ênfase2" xfId="15" builtinId="35" customBuiltin="1"/>
    <cellStyle name="40% - Ênfase2 2" xfId="16"/>
    <cellStyle name="40% - Ênfase3" xfId="17" builtinId="39" customBuiltin="1"/>
    <cellStyle name="40% - Ênfase3 2" xfId="18"/>
    <cellStyle name="40% - Ênfase4" xfId="19" builtinId="43" customBuiltin="1"/>
    <cellStyle name="40% - Ênfase4 2" xfId="20"/>
    <cellStyle name="40% - Ênfase5" xfId="21" builtinId="47" customBuiltin="1"/>
    <cellStyle name="40% - Ênfase5 2" xfId="22"/>
    <cellStyle name="40% - Ênfase6" xfId="23" builtinId="51" customBuiltin="1"/>
    <cellStyle name="40% - Ênfase6 2" xfId="24"/>
    <cellStyle name="60% - Ênfase1" xfId="25" builtinId="32" customBuiltin="1"/>
    <cellStyle name="60% - Ênfase1 2" xfId="26"/>
    <cellStyle name="60% - Ênfase2" xfId="27" builtinId="36" customBuiltin="1"/>
    <cellStyle name="60% - Ênfase2 2" xfId="28"/>
    <cellStyle name="60% - Ênfase3" xfId="29" builtinId="40" customBuiltin="1"/>
    <cellStyle name="60% - Ênfase3 2" xfId="30"/>
    <cellStyle name="60% - Ênfase4" xfId="31" builtinId="44" customBuiltin="1"/>
    <cellStyle name="60% - Ênfase4 2" xfId="32"/>
    <cellStyle name="60% - Ênfase5" xfId="33" builtinId="48" customBuiltin="1"/>
    <cellStyle name="60% - Ênfase5 2" xfId="34"/>
    <cellStyle name="60% - Ênfase6" xfId="35" builtinId="52" customBuiltin="1"/>
    <cellStyle name="60% - Ênfase6 2" xfId="36"/>
    <cellStyle name="Bom" xfId="37" builtinId="26" customBuiltin="1"/>
    <cellStyle name="Bom 2" xfId="38"/>
    <cellStyle name="Cálculo" xfId="39" builtinId="22" customBuiltin="1"/>
    <cellStyle name="Cálculo 2" xfId="40"/>
    <cellStyle name="Célula de Verificação" xfId="41" builtinId="23" customBuiltin="1"/>
    <cellStyle name="Célula de Verificação 2" xfId="42"/>
    <cellStyle name="Célula Vinculada" xfId="43" builtinId="24" customBuiltin="1"/>
    <cellStyle name="Célula Vinculada 2" xfId="44"/>
    <cellStyle name="Ênfase1" xfId="45" builtinId="29" customBuiltin="1"/>
    <cellStyle name="Ênfase1 2" xfId="46"/>
    <cellStyle name="Ênfase2" xfId="47" builtinId="33" customBuiltin="1"/>
    <cellStyle name="Ênfase2 2" xfId="48"/>
    <cellStyle name="Ênfase3" xfId="49" builtinId="37" customBuiltin="1"/>
    <cellStyle name="Ênfase3 2" xfId="50"/>
    <cellStyle name="Ênfase4" xfId="51" builtinId="41" customBuiltin="1"/>
    <cellStyle name="Ênfase4 2" xfId="52"/>
    <cellStyle name="Ênfase5" xfId="53" builtinId="45" customBuiltin="1"/>
    <cellStyle name="Ênfase5 2" xfId="54"/>
    <cellStyle name="Ênfase6" xfId="55" builtinId="49" customBuiltin="1"/>
    <cellStyle name="Ênfase6 2" xfId="56"/>
    <cellStyle name="Entrada" xfId="57" builtinId="20" customBuiltin="1"/>
    <cellStyle name="Entrada 2" xfId="58"/>
    <cellStyle name="Incorreto 2" xfId="59"/>
    <cellStyle name="Neutra 2" xfId="60"/>
    <cellStyle name="Normal" xfId="0" builtinId="0"/>
    <cellStyle name="Normal 2" xfId="61"/>
    <cellStyle name="Normal 3" xfId="62"/>
    <cellStyle name="Nota" xfId="63" builtinId="10" customBuiltin="1"/>
    <cellStyle name="Nota 2" xfId="64"/>
    <cellStyle name="Porcentagem" xfId="65" builtinId="5"/>
    <cellStyle name="Porcentagem 2" xfId="66"/>
    <cellStyle name="Porcentagem 3" xfId="67"/>
    <cellStyle name="Saída" xfId="68" builtinId="21" customBuiltin="1"/>
    <cellStyle name="Saída 2" xfId="69"/>
    <cellStyle name="Texto de Aviso" xfId="70" builtinId="11" customBuiltin="1"/>
    <cellStyle name="Texto de Aviso 2" xfId="71"/>
    <cellStyle name="Texto Explicativo" xfId="72" builtinId="53" customBuiltin="1"/>
    <cellStyle name="Texto Explicativo 2" xfId="73"/>
    <cellStyle name="Título" xfId="74" builtinId="15" customBuiltin="1"/>
    <cellStyle name="Título 1" xfId="75" builtinId="16" customBuiltin="1"/>
    <cellStyle name="Título 1 2" xfId="76"/>
    <cellStyle name="Título 2" xfId="77" builtinId="17" customBuiltin="1"/>
    <cellStyle name="Título 2 2" xfId="78"/>
    <cellStyle name="Título 3" xfId="79" builtinId="18" customBuiltin="1"/>
    <cellStyle name="Título 3 2" xfId="80"/>
    <cellStyle name="Título 4" xfId="81" builtinId="19" customBuiltin="1"/>
    <cellStyle name="Título 4 2" xfId="82"/>
    <cellStyle name="Título 5" xfId="83"/>
    <cellStyle name="Título 6" xfId="84"/>
    <cellStyle name="Total" xfId="85" builtinId="25" customBuiltin="1"/>
    <cellStyle name="Total 2" xfId="86"/>
    <cellStyle name="Vírgula" xfId="87" builtinId="3"/>
    <cellStyle name="Vírgula 2" xfId="88"/>
    <cellStyle name="Vírgula 3" xfId="89"/>
    <cellStyle name="Vírgula 4" xfId="9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1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7%20-%20Demonstra&#231;&#245;es%20Cont&#225;beis\2010\CAA\Aguas%20Aracoiaba-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1-%20AGUAS%20BR\Consolidado\2010\Setembro\Consolidado%20setembro%202010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1-%20AGUAS%20BR\Consolidado\2009\Dezembro\SAAB\Consolidado%20SAAB%20dez_09%20prelimar%20p%20acionista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alanço CAJ"/>
      <sheetName val="DRE CAJ"/>
      <sheetName val="DMPL CAJ"/>
      <sheetName val="DOAR CAJ"/>
      <sheetName val="Balanço CAA"/>
      <sheetName val="DRE CAA"/>
      <sheetName val="RESULTADO POR AÇÃO"/>
      <sheetName val="DMPL CAA"/>
      <sheetName val="DFC CAA"/>
      <sheetName val="BASE PARA FLUXO DE CAIXA"/>
    </sheetNames>
    <sheetDataSet>
      <sheetData sheetId="0"/>
      <sheetData sheetId="1"/>
      <sheetData sheetId="2"/>
      <sheetData sheetId="3"/>
      <sheetData sheetId="4"/>
      <sheetData sheetId="5">
        <row r="48">
          <cell r="C48">
            <v>-2043</v>
          </cell>
          <cell r="E48">
            <v>-2950</v>
          </cell>
        </row>
      </sheetData>
      <sheetData sheetId="6"/>
      <sheetData sheetId="7"/>
      <sheetData sheetId="8"/>
      <sheetData sheetId="9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GS"/>
      <sheetName val="SAAB"/>
      <sheetName val="Check"/>
    </sheetNames>
    <sheetDataSet>
      <sheetData sheetId="0"/>
      <sheetData sheetId="1">
        <row r="13">
          <cell r="X13">
            <v>45028833.409999996</v>
          </cell>
        </row>
        <row r="14">
          <cell r="X14">
            <v>75173932.680000007</v>
          </cell>
        </row>
        <row r="15">
          <cell r="X15">
            <v>165030.78000000026</v>
          </cell>
        </row>
        <row r="25">
          <cell r="X25">
            <v>12542706.700000003</v>
          </cell>
        </row>
        <row r="26">
          <cell r="X26">
            <v>1412910.2300000002</v>
          </cell>
        </row>
        <row r="27">
          <cell r="X27">
            <v>24214676.459999993</v>
          </cell>
        </row>
        <row r="28">
          <cell r="X28">
            <v>1710471.47</v>
          </cell>
        </row>
        <row r="29">
          <cell r="X29">
            <v>1042362.3800000001</v>
          </cell>
        </row>
        <row r="30">
          <cell r="X30">
            <v>1773172.84</v>
          </cell>
        </row>
        <row r="31">
          <cell r="X31">
            <v>284462.93</v>
          </cell>
        </row>
        <row r="32">
          <cell r="X32">
            <v>905597.84</v>
          </cell>
        </row>
        <row r="40">
          <cell r="X40">
            <v>7509478.2600000007</v>
          </cell>
        </row>
        <row r="41">
          <cell r="X41">
            <v>5272905.12</v>
          </cell>
        </row>
        <row r="42">
          <cell r="X42">
            <v>645816.82999999996</v>
          </cell>
        </row>
        <row r="48">
          <cell r="X48">
            <v>421498.37</v>
          </cell>
        </row>
        <row r="50">
          <cell r="X50">
            <v>18139158.010000002</v>
          </cell>
        </row>
        <row r="51">
          <cell r="X51">
            <v>3757487.18</v>
          </cell>
        </row>
        <row r="59">
          <cell r="X59">
            <v>1746920.23</v>
          </cell>
        </row>
        <row r="72">
          <cell r="X72">
            <v>332626510.84999996</v>
          </cell>
        </row>
        <row r="78">
          <cell r="X78">
            <v>805165.84000000008</v>
          </cell>
        </row>
        <row r="79">
          <cell r="X79">
            <v>959451.11999999988</v>
          </cell>
        </row>
        <row r="88">
          <cell r="X88">
            <v>20954059.480000004</v>
          </cell>
        </row>
        <row r="89">
          <cell r="X89">
            <v>11786392.920000002</v>
          </cell>
        </row>
        <row r="99">
          <cell r="X99">
            <v>32663394.649999999</v>
          </cell>
        </row>
        <row r="100">
          <cell r="X100">
            <v>9193128.6800000016</v>
          </cell>
        </row>
        <row r="101">
          <cell r="X101">
            <v>8795012.5899999999</v>
          </cell>
        </row>
        <row r="121">
          <cell r="X121">
            <v>3536032.02</v>
          </cell>
        </row>
        <row r="122">
          <cell r="X122">
            <v>18924933.440000001</v>
          </cell>
        </row>
        <row r="129">
          <cell r="X129">
            <v>70812392.75999999</v>
          </cell>
        </row>
        <row r="130">
          <cell r="X130">
            <v>0</v>
          </cell>
        </row>
        <row r="131">
          <cell r="X131">
            <v>49878436.510000005</v>
          </cell>
        </row>
        <row r="132">
          <cell r="X132">
            <v>6417264.1699999999</v>
          </cell>
        </row>
        <row r="133">
          <cell r="X133">
            <v>3398329.79</v>
          </cell>
        </row>
        <row r="136">
          <cell r="X136">
            <v>2642258.5</v>
          </cell>
        </row>
        <row r="141">
          <cell r="X141">
            <v>14161518.1</v>
          </cell>
        </row>
        <row r="146">
          <cell r="X146">
            <v>0</v>
          </cell>
        </row>
        <row r="148">
          <cell r="X148">
            <v>0</v>
          </cell>
        </row>
        <row r="149">
          <cell r="X149">
            <v>0</v>
          </cell>
        </row>
        <row r="150">
          <cell r="X150">
            <v>0</v>
          </cell>
        </row>
      </sheetData>
      <sheetData sheetId="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solidação - TGS"/>
      <sheetName val="Consolidação - SAAB"/>
    </sheetNames>
    <sheetDataSet>
      <sheetData sheetId="0"/>
      <sheetData sheetId="1">
        <row r="50">
          <cell r="T50">
            <v>1648544.06</v>
          </cell>
        </row>
        <row r="98">
          <cell r="T98">
            <v>15010828.030000001</v>
          </cell>
        </row>
      </sheetData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6"/>
  <sheetViews>
    <sheetView showGridLines="0" showZeros="0" tabSelected="1" zoomScale="90" zoomScaleNormal="90" workbookViewId="0">
      <selection activeCell="I20" sqref="I20"/>
    </sheetView>
  </sheetViews>
  <sheetFormatPr defaultRowHeight="15.75" x14ac:dyDescent="0.25"/>
  <cols>
    <col min="1" max="1" width="2.42578125" style="2" customWidth="1"/>
    <col min="2" max="2" width="62.85546875" style="2" bestFit="1" customWidth="1"/>
    <col min="3" max="3" width="1.7109375" style="2" customWidth="1"/>
    <col min="4" max="4" width="13.28515625" style="16" customWidth="1"/>
    <col min="5" max="5" width="5.140625" style="12" customWidth="1"/>
    <col min="6" max="6" width="13.28515625" style="16" customWidth="1"/>
    <col min="7" max="7" width="12.42578125" style="2" hidden="1" customWidth="1"/>
    <col min="8" max="8" width="12.85546875" style="2" bestFit="1" customWidth="1"/>
    <col min="9" max="16384" width="9.140625" style="2"/>
  </cols>
  <sheetData>
    <row r="1" spans="1:18" x14ac:dyDescent="0.25">
      <c r="A1" s="110" t="s">
        <v>90</v>
      </c>
      <c r="B1" s="110"/>
      <c r="C1" s="110"/>
      <c r="D1" s="110"/>
      <c r="E1" s="110"/>
      <c r="F1" s="110"/>
      <c r="G1" s="111"/>
      <c r="H1" s="111"/>
      <c r="I1" s="111"/>
      <c r="J1" s="111"/>
      <c r="K1" s="111"/>
      <c r="L1" s="111"/>
      <c r="M1" s="111"/>
      <c r="N1" s="111"/>
      <c r="O1" s="111"/>
      <c r="P1" s="111"/>
      <c r="Q1" s="111"/>
      <c r="R1" s="111"/>
    </row>
    <row r="2" spans="1:18" ht="4.5" customHeight="1" x14ac:dyDescent="0.25">
      <c r="B2" s="112"/>
      <c r="C2" s="112"/>
    </row>
    <row r="3" spans="1:18" x14ac:dyDescent="0.25">
      <c r="A3" s="110" t="s">
        <v>89</v>
      </c>
      <c r="B3" s="110"/>
      <c r="C3" s="110"/>
      <c r="D3" s="110"/>
      <c r="E3" s="110"/>
      <c r="F3" s="110"/>
    </row>
    <row r="4" spans="1:18" ht="5.25" customHeight="1" x14ac:dyDescent="0.25">
      <c r="B4" s="112"/>
      <c r="C4" s="112"/>
    </row>
    <row r="5" spans="1:18" x14ac:dyDescent="0.25">
      <c r="A5" s="110" t="s">
        <v>92</v>
      </c>
      <c r="B5" s="110"/>
      <c r="C5" s="110"/>
      <c r="D5" s="110"/>
      <c r="E5" s="110"/>
      <c r="F5" s="110"/>
      <c r="G5" s="111"/>
    </row>
    <row r="6" spans="1:18" ht="9.75" customHeight="1" x14ac:dyDescent="0.25">
      <c r="B6" s="112"/>
      <c r="C6" s="112"/>
    </row>
    <row r="7" spans="1:18" x14ac:dyDescent="0.25">
      <c r="A7" s="110" t="s">
        <v>107</v>
      </c>
      <c r="B7" s="110"/>
      <c r="C7" s="110"/>
      <c r="D7" s="110"/>
      <c r="E7" s="110"/>
      <c r="F7" s="110"/>
      <c r="G7" s="111"/>
    </row>
    <row r="8" spans="1:18" ht="10.5" customHeight="1" x14ac:dyDescent="0.25">
      <c r="B8" s="112"/>
      <c r="C8" s="112"/>
    </row>
    <row r="9" spans="1:18" x14ac:dyDescent="0.25">
      <c r="A9" s="110" t="s">
        <v>88</v>
      </c>
      <c r="B9" s="110"/>
      <c r="C9" s="110"/>
      <c r="D9" s="110"/>
      <c r="E9" s="110"/>
      <c r="F9" s="110"/>
      <c r="G9" s="111"/>
    </row>
    <row r="11" spans="1:18" ht="7.5" customHeight="1" x14ac:dyDescent="0.25"/>
    <row r="12" spans="1:18" x14ac:dyDescent="0.25">
      <c r="D12" s="113">
        <v>2015</v>
      </c>
      <c r="E12" s="114"/>
      <c r="F12" s="113">
        <v>2014</v>
      </c>
      <c r="G12" s="115">
        <v>2004</v>
      </c>
    </row>
    <row r="13" spans="1:18" ht="6" customHeight="1" x14ac:dyDescent="0.25"/>
    <row r="14" spans="1:18" x14ac:dyDescent="0.25">
      <c r="B14" s="4" t="s">
        <v>108</v>
      </c>
      <c r="C14" s="4"/>
      <c r="D14" s="12"/>
      <c r="F14" s="12"/>
      <c r="G14" s="5"/>
    </row>
    <row r="15" spans="1:18" ht="15" customHeight="1" x14ac:dyDescent="0.25">
      <c r="B15" s="4" t="s">
        <v>109</v>
      </c>
      <c r="C15" s="4"/>
      <c r="D15" s="12">
        <v>69834</v>
      </c>
      <c r="F15" s="12">
        <v>62170</v>
      </c>
      <c r="G15" s="116">
        <f>15415707.72-2745514.61</f>
        <v>12670193</v>
      </c>
    </row>
    <row r="16" spans="1:18" ht="15" customHeight="1" x14ac:dyDescent="0.25">
      <c r="B16" s="15" t="s">
        <v>110</v>
      </c>
      <c r="C16" s="15"/>
      <c r="D16" s="21">
        <v>12468</v>
      </c>
      <c r="E16" s="21"/>
      <c r="F16" s="21">
        <v>11444</v>
      </c>
      <c r="G16" s="116"/>
    </row>
    <row r="17" spans="2:8" ht="6" customHeight="1" x14ac:dyDescent="0.25">
      <c r="B17" s="4"/>
      <c r="C17" s="4"/>
      <c r="D17" s="12"/>
      <c r="F17" s="12"/>
      <c r="G17" s="116"/>
    </row>
    <row r="18" spans="2:8" x14ac:dyDescent="0.25">
      <c r="B18" s="4" t="s">
        <v>111</v>
      </c>
      <c r="C18" s="4"/>
      <c r="D18" s="12"/>
      <c r="F18" s="12"/>
      <c r="G18" s="117"/>
    </row>
    <row r="19" spans="2:8" x14ac:dyDescent="0.25">
      <c r="B19" s="4" t="s">
        <v>112</v>
      </c>
      <c r="C19" s="4"/>
      <c r="D19" s="12">
        <v>-6456</v>
      </c>
      <c r="F19" s="12">
        <v>-5751</v>
      </c>
      <c r="G19" s="116">
        <f>-1253755.08-1165591.6+49911.09</f>
        <v>-2369436</v>
      </c>
    </row>
    <row r="20" spans="2:8" ht="15.75" customHeight="1" x14ac:dyDescent="0.25">
      <c r="B20" s="4" t="s">
        <v>113</v>
      </c>
      <c r="C20" s="4"/>
      <c r="D20" s="10">
        <v>-45</v>
      </c>
      <c r="F20" s="10">
        <v>-8</v>
      </c>
      <c r="G20" s="116">
        <v>-22721</v>
      </c>
    </row>
    <row r="21" spans="2:8" ht="15.75" customHeight="1" x14ac:dyDescent="0.25">
      <c r="B21" s="4" t="s">
        <v>114</v>
      </c>
      <c r="C21" s="4"/>
      <c r="D21" s="87">
        <f>SUM(D15:D20)</f>
        <v>75801</v>
      </c>
      <c r="E21" s="87"/>
      <c r="F21" s="87">
        <f>SUM(F15:F20)</f>
        <v>67855</v>
      </c>
      <c r="G21" s="116" t="e">
        <f>+G15+G20+G19+#REF!</f>
        <v>#REF!</v>
      </c>
      <c r="H21" s="12"/>
    </row>
    <row r="22" spans="2:8" ht="8.25" customHeight="1" x14ac:dyDescent="0.25">
      <c r="B22" s="4"/>
      <c r="C22" s="4"/>
      <c r="D22" s="12"/>
      <c r="F22" s="12"/>
      <c r="G22" s="118"/>
      <c r="H22" s="8"/>
    </row>
    <row r="23" spans="2:8" ht="15.75" customHeight="1" x14ac:dyDescent="0.25">
      <c r="B23" s="15" t="s">
        <v>21</v>
      </c>
      <c r="C23" s="15"/>
      <c r="D23" s="21">
        <v>-26986</v>
      </c>
      <c r="E23" s="21"/>
      <c r="F23" s="21">
        <v>-19995</v>
      </c>
      <c r="G23" s="119">
        <f>-6862081.9-163978.07</f>
        <v>-7026060</v>
      </c>
      <c r="H23" s="12"/>
    </row>
    <row r="24" spans="2:8" ht="15.75" customHeight="1" x14ac:dyDescent="0.25">
      <c r="B24" s="15" t="s">
        <v>91</v>
      </c>
      <c r="C24" s="15"/>
      <c r="D24" s="21">
        <v>-12468</v>
      </c>
      <c r="E24" s="21"/>
      <c r="F24" s="21">
        <v>-11444</v>
      </c>
      <c r="G24" s="116"/>
      <c r="H24" s="8"/>
    </row>
    <row r="25" spans="2:8" ht="15.75" customHeight="1" x14ac:dyDescent="0.25">
      <c r="B25" s="15" t="s">
        <v>19</v>
      </c>
      <c r="C25" s="4"/>
      <c r="D25" s="62">
        <f>SUM(D21:D24)</f>
        <v>36347</v>
      </c>
      <c r="E25" s="21"/>
      <c r="F25" s="62">
        <f>SUM(F21:F24)</f>
        <v>36416</v>
      </c>
      <c r="G25" s="117" t="e">
        <f>+G21+G23</f>
        <v>#REF!</v>
      </c>
      <c r="H25" s="8"/>
    </row>
    <row r="26" spans="2:8" ht="8.25" customHeight="1" x14ac:dyDescent="0.25">
      <c r="B26" s="15"/>
      <c r="C26" s="4"/>
      <c r="D26" s="12"/>
      <c r="F26" s="12"/>
      <c r="G26" s="116"/>
      <c r="H26" s="8"/>
    </row>
    <row r="27" spans="2:8" x14ac:dyDescent="0.25">
      <c r="B27" s="13" t="s">
        <v>27</v>
      </c>
      <c r="G27" s="14"/>
      <c r="H27" s="120"/>
    </row>
    <row r="28" spans="2:8" x14ac:dyDescent="0.25">
      <c r="B28" s="13" t="s">
        <v>115</v>
      </c>
      <c r="C28" s="13"/>
      <c r="D28" s="20">
        <v>-19998</v>
      </c>
      <c r="E28" s="21"/>
      <c r="F28" s="20">
        <v>-17499</v>
      </c>
      <c r="G28" s="14">
        <f>-1664384.19-959975.37-400759.59+163978.07+30058.21</f>
        <v>-2831083</v>
      </c>
      <c r="H28" s="21"/>
    </row>
    <row r="29" spans="2:8" x14ac:dyDescent="0.25">
      <c r="B29" s="13" t="s">
        <v>116</v>
      </c>
      <c r="C29" s="13"/>
      <c r="D29" s="20"/>
      <c r="E29" s="21"/>
      <c r="F29" s="20"/>
      <c r="G29" s="14"/>
      <c r="H29" s="120"/>
    </row>
    <row r="30" spans="2:8" ht="15.75" customHeight="1" x14ac:dyDescent="0.25">
      <c r="B30" s="15" t="s">
        <v>117</v>
      </c>
      <c r="D30" s="16">
        <v>-3107</v>
      </c>
      <c r="F30" s="16">
        <v>-807</v>
      </c>
      <c r="G30" s="14">
        <v>-491349</v>
      </c>
      <c r="H30" s="21"/>
    </row>
    <row r="31" spans="2:8" ht="15.75" customHeight="1" x14ac:dyDescent="0.25">
      <c r="B31" s="15" t="s">
        <v>118</v>
      </c>
      <c r="D31" s="21">
        <v>1540</v>
      </c>
      <c r="F31" s="12">
        <v>-1936</v>
      </c>
      <c r="G31" s="14">
        <v>-30058</v>
      </c>
      <c r="H31" s="21"/>
    </row>
    <row r="32" spans="2:8" ht="15.75" hidden="1" customHeight="1" x14ac:dyDescent="0.25">
      <c r="B32" s="2" t="s">
        <v>119</v>
      </c>
      <c r="D32" s="21"/>
      <c r="F32" s="12"/>
      <c r="G32" s="14"/>
      <c r="H32" s="120"/>
    </row>
    <row r="33" spans="2:8" ht="15.75" customHeight="1" x14ac:dyDescent="0.25">
      <c r="B33" s="4" t="s">
        <v>120</v>
      </c>
      <c r="D33" s="17">
        <v>27</v>
      </c>
      <c r="F33" s="10">
        <v>44</v>
      </c>
      <c r="G33" s="117">
        <v>11264</v>
      </c>
      <c r="H33" s="120"/>
    </row>
    <row r="34" spans="2:8" ht="15.75" customHeight="1" x14ac:dyDescent="0.25">
      <c r="D34" s="62">
        <f>SUM(D28:D33)</f>
        <v>-21538</v>
      </c>
      <c r="E34" s="21"/>
      <c r="F34" s="62">
        <f>SUM(F28:F33)</f>
        <v>-20198</v>
      </c>
      <c r="G34" s="14">
        <f>SUM(G28:G33)</f>
        <v>-3341226</v>
      </c>
      <c r="H34" s="121"/>
    </row>
    <row r="35" spans="2:8" ht="9.75" customHeight="1" x14ac:dyDescent="0.25">
      <c r="D35" s="20"/>
      <c r="G35" s="13"/>
      <c r="H35" s="15"/>
    </row>
    <row r="36" spans="2:8" x14ac:dyDescent="0.25">
      <c r="B36" s="2" t="s">
        <v>121</v>
      </c>
      <c r="D36" s="17">
        <f>D25+D34</f>
        <v>14809</v>
      </c>
      <c r="E36" s="21"/>
      <c r="F36" s="17">
        <f>F25+F34</f>
        <v>16218</v>
      </c>
      <c r="G36" s="122" t="e">
        <f>G34+G25</f>
        <v>#REF!</v>
      </c>
      <c r="H36" s="121"/>
    </row>
    <row r="37" spans="2:8" ht="6" customHeight="1" x14ac:dyDescent="0.25">
      <c r="B37" s="4"/>
      <c r="C37" s="4"/>
      <c r="D37" s="21"/>
      <c r="F37" s="12"/>
      <c r="G37" s="116"/>
      <c r="H37" s="13"/>
    </row>
    <row r="38" spans="2:8" x14ac:dyDescent="0.25">
      <c r="B38" s="2" t="s">
        <v>122</v>
      </c>
      <c r="D38" s="20"/>
      <c r="G38" s="14"/>
      <c r="H38" s="13"/>
    </row>
    <row r="39" spans="2:8" x14ac:dyDescent="0.25">
      <c r="B39" s="2" t="s">
        <v>123</v>
      </c>
      <c r="D39" s="20">
        <v>2871</v>
      </c>
      <c r="F39" s="16">
        <v>1820</v>
      </c>
      <c r="G39" s="14">
        <v>347987</v>
      </c>
      <c r="H39" s="89"/>
    </row>
    <row r="40" spans="2:8" x14ac:dyDescent="0.25">
      <c r="B40" s="2" t="s">
        <v>124</v>
      </c>
      <c r="D40" s="21">
        <v>-5820</v>
      </c>
      <c r="F40" s="12">
        <v>-2246</v>
      </c>
      <c r="G40" s="122">
        <v>-748317</v>
      </c>
      <c r="H40" s="89"/>
    </row>
    <row r="41" spans="2:8" x14ac:dyDescent="0.25">
      <c r="B41" s="2" t="s">
        <v>125</v>
      </c>
      <c r="D41" s="17">
        <v>-869</v>
      </c>
      <c r="E41" s="21"/>
      <c r="F41" s="17">
        <v>-542</v>
      </c>
      <c r="G41" s="117"/>
      <c r="H41" s="13"/>
    </row>
    <row r="42" spans="2:8" ht="18" customHeight="1" x14ac:dyDescent="0.25">
      <c r="D42" s="17">
        <f>SUM(D39:D41)</f>
        <v>-3818</v>
      </c>
      <c r="E42" s="21"/>
      <c r="F42" s="17">
        <f>SUM(F39:F41)</f>
        <v>-968</v>
      </c>
      <c r="G42" s="14">
        <f>SUM(G39:G40)</f>
        <v>-400330</v>
      </c>
      <c r="H42" s="89"/>
    </row>
    <row r="43" spans="2:8" ht="9" customHeight="1" x14ac:dyDescent="0.25">
      <c r="D43" s="21"/>
      <c r="E43" s="21"/>
      <c r="F43" s="21"/>
      <c r="G43" s="14"/>
      <c r="H43" s="13"/>
    </row>
    <row r="44" spans="2:8" hidden="1" x14ac:dyDescent="0.25">
      <c r="B44" s="2" t="s">
        <v>126</v>
      </c>
      <c r="D44" s="20"/>
      <c r="E44" s="21"/>
      <c r="F44" s="20"/>
      <c r="G44" s="14"/>
      <c r="H44" s="13"/>
    </row>
    <row r="45" spans="2:8" hidden="1" x14ac:dyDescent="0.25">
      <c r="B45" s="2" t="s">
        <v>127</v>
      </c>
      <c r="D45" s="20"/>
      <c r="E45" s="21"/>
      <c r="F45" s="20"/>
      <c r="G45" s="14"/>
      <c r="H45" s="13"/>
    </row>
    <row r="46" spans="2:8" ht="6" hidden="1" customHeight="1" x14ac:dyDescent="0.25">
      <c r="D46" s="20"/>
      <c r="G46" s="120"/>
      <c r="H46" s="13"/>
    </row>
    <row r="47" spans="2:8" ht="6" hidden="1" customHeight="1" x14ac:dyDescent="0.25">
      <c r="D47" s="20"/>
      <c r="H47" s="13"/>
    </row>
    <row r="48" spans="2:8" hidden="1" x14ac:dyDescent="0.25">
      <c r="B48" s="2" t="s">
        <v>128</v>
      </c>
      <c r="D48" s="20"/>
      <c r="G48" s="16">
        <v>-99132</v>
      </c>
      <c r="H48" s="13"/>
    </row>
    <row r="49" spans="2:10" hidden="1" x14ac:dyDescent="0.25">
      <c r="B49" s="2" t="s">
        <v>129</v>
      </c>
      <c r="D49" s="20"/>
      <c r="G49" s="117">
        <v>-45417</v>
      </c>
      <c r="H49" s="13"/>
    </row>
    <row r="50" spans="2:10" hidden="1" x14ac:dyDescent="0.25">
      <c r="B50" s="2" t="s">
        <v>130</v>
      </c>
      <c r="D50" s="20"/>
      <c r="G50" s="117">
        <v>-54068</v>
      </c>
      <c r="H50" s="13"/>
    </row>
    <row r="51" spans="2:10" hidden="1" x14ac:dyDescent="0.25">
      <c r="B51" s="2" t="s">
        <v>131</v>
      </c>
      <c r="D51" s="20"/>
      <c r="G51" s="117">
        <v>-19465</v>
      </c>
      <c r="H51" s="13"/>
    </row>
    <row r="52" spans="2:10" hidden="1" x14ac:dyDescent="0.25">
      <c r="D52" s="20"/>
      <c r="H52" s="13"/>
    </row>
    <row r="53" spans="2:10" ht="16.5" thickBot="1" x14ac:dyDescent="0.3">
      <c r="B53" s="2" t="s">
        <v>87</v>
      </c>
      <c r="D53" s="17">
        <f>+D36+D42</f>
        <v>10991</v>
      </c>
      <c r="F53" s="10">
        <f>+F36+F42</f>
        <v>15250</v>
      </c>
      <c r="G53" s="18" t="e">
        <f>+#REF!+G51+G50+G49+G48</f>
        <v>#REF!</v>
      </c>
      <c r="H53" s="13"/>
    </row>
    <row r="54" spans="2:10" ht="6" customHeight="1" thickTop="1" thickBot="1" x14ac:dyDescent="0.3">
      <c r="D54" s="21"/>
      <c r="F54" s="12"/>
      <c r="G54" s="123"/>
      <c r="H54" s="13"/>
    </row>
    <row r="55" spans="2:10" ht="15" customHeight="1" thickTop="1" thickBot="1" x14ac:dyDescent="0.3">
      <c r="B55" s="2" t="s">
        <v>132</v>
      </c>
      <c r="D55" s="21">
        <v>-3495</v>
      </c>
      <c r="F55" s="12">
        <v>-5271</v>
      </c>
      <c r="G55" s="123"/>
      <c r="H55" s="13"/>
    </row>
    <row r="56" spans="2:10" ht="15.75" customHeight="1" thickTop="1" thickBot="1" x14ac:dyDescent="0.3">
      <c r="B56" s="2" t="s">
        <v>133</v>
      </c>
      <c r="D56" s="21">
        <v>-124</v>
      </c>
      <c r="F56" s="12">
        <v>1594</v>
      </c>
      <c r="G56" s="123"/>
      <c r="H56" s="21"/>
    </row>
    <row r="57" spans="2:10" ht="3" customHeight="1" thickTop="1" thickBot="1" x14ac:dyDescent="0.3">
      <c r="D57" s="17"/>
      <c r="F57" s="12"/>
      <c r="G57" s="123"/>
      <c r="H57" s="13"/>
    </row>
    <row r="58" spans="2:10" ht="15.75" customHeight="1" thickTop="1" thickBot="1" x14ac:dyDescent="0.3">
      <c r="B58" s="2" t="s">
        <v>106</v>
      </c>
      <c r="D58" s="90">
        <f>SUM(D53:D56)</f>
        <v>7372</v>
      </c>
      <c r="F58" s="124">
        <f>SUM(F53:F57)</f>
        <v>11573</v>
      </c>
      <c r="G58" s="18"/>
      <c r="H58" s="89"/>
      <c r="J58" s="22"/>
    </row>
    <row r="59" spans="2:10" ht="15.75" customHeight="1" thickTop="1" thickBot="1" x14ac:dyDescent="0.3">
      <c r="D59" s="21"/>
      <c r="F59" s="12"/>
      <c r="G59" s="123"/>
      <c r="H59" s="13"/>
    </row>
    <row r="60" spans="2:10" s="13" customFormat="1" ht="15.75" customHeight="1" thickTop="1" thickBot="1" x14ac:dyDescent="0.3">
      <c r="B60" s="13" t="s">
        <v>134</v>
      </c>
      <c r="D60" s="23">
        <f>5699850</f>
        <v>5699850</v>
      </c>
      <c r="E60" s="21"/>
      <c r="F60" s="23">
        <f>5699850</f>
        <v>5699850</v>
      </c>
      <c r="G60" s="125">
        <v>3087904</v>
      </c>
    </row>
    <row r="61" spans="2:10" s="13" customFormat="1" ht="15.75" customHeight="1" thickTop="1" thickBot="1" x14ac:dyDescent="0.3">
      <c r="D61" s="21"/>
      <c r="E61" s="21"/>
      <c r="F61" s="21"/>
      <c r="G61" s="125"/>
    </row>
    <row r="62" spans="2:10" s="13" customFormat="1" ht="15.75" customHeight="1" thickTop="1" thickBot="1" x14ac:dyDescent="0.3">
      <c r="B62" s="13" t="s">
        <v>135</v>
      </c>
      <c r="D62" s="126">
        <f>D58/D60*1000</f>
        <v>1.29</v>
      </c>
      <c r="E62" s="88"/>
      <c r="F62" s="126">
        <f>F58/F60*1000</f>
        <v>2.0299999999999998</v>
      </c>
      <c r="G62" s="127" t="e">
        <f>+G53/G60</f>
        <v>#REF!</v>
      </c>
    </row>
    <row r="63" spans="2:10" ht="16.5" thickTop="1" x14ac:dyDescent="0.25">
      <c r="G63" s="3"/>
      <c r="H63" s="22"/>
    </row>
    <row r="64" spans="2:10" x14ac:dyDescent="0.25">
      <c r="G64" s="3"/>
    </row>
    <row r="66" spans="1:7" x14ac:dyDescent="0.25">
      <c r="A66" s="128" t="s">
        <v>104</v>
      </c>
      <c r="B66" s="128"/>
      <c r="C66" s="128"/>
      <c r="D66" s="128"/>
      <c r="E66" s="128"/>
      <c r="F66" s="128"/>
      <c r="G66" s="129"/>
    </row>
  </sheetData>
  <mergeCells count="6">
    <mergeCell ref="A1:F1"/>
    <mergeCell ref="A3:F3"/>
    <mergeCell ref="A5:F5"/>
    <mergeCell ref="A7:F7"/>
    <mergeCell ref="A9:F9"/>
    <mergeCell ref="A66:F66"/>
  </mergeCells>
  <printOptions horizontalCentered="1" verticalCentered="1"/>
  <pageMargins left="0.39370078740157483" right="0.39370078740157483" top="0.78740157480314965" bottom="0.78740157480314965" header="0.19685039370078741" footer="0.19685039370078741"/>
  <pageSetup scale="8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3"/>
  <sheetViews>
    <sheetView showGridLines="0" showZeros="0" zoomScaleNormal="100" workbookViewId="0">
      <selection activeCell="B14" sqref="B14"/>
    </sheetView>
  </sheetViews>
  <sheetFormatPr defaultRowHeight="15.75" x14ac:dyDescent="0.25"/>
  <cols>
    <col min="1" max="1" width="1.7109375" style="13" customWidth="1"/>
    <col min="2" max="2" width="62.28515625" style="13" customWidth="1"/>
    <col min="3" max="3" width="5.7109375" style="13" customWidth="1"/>
    <col min="4" max="4" width="1.7109375" style="13" customWidth="1"/>
    <col min="5" max="5" width="15.7109375" style="14" customWidth="1"/>
    <col min="6" max="6" width="1.7109375" style="14" customWidth="1"/>
    <col min="7" max="7" width="15.7109375" style="14" customWidth="1"/>
    <col min="8" max="8" width="1.7109375" style="13" customWidth="1"/>
    <col min="9" max="9" width="9.140625" style="13"/>
    <col min="10" max="10" width="13.5703125" style="13" bestFit="1" customWidth="1"/>
    <col min="11" max="16384" width="9.140625" style="13"/>
  </cols>
  <sheetData>
    <row r="1" spans="1:10" x14ac:dyDescent="0.25">
      <c r="A1" s="104" t="s">
        <v>90</v>
      </c>
      <c r="B1" s="104"/>
      <c r="C1" s="104"/>
      <c r="D1" s="104"/>
      <c r="E1" s="104"/>
      <c r="F1" s="104"/>
      <c r="G1" s="104"/>
    </row>
    <row r="2" spans="1:10" x14ac:dyDescent="0.25">
      <c r="A2" s="104" t="s">
        <v>89</v>
      </c>
      <c r="B2" s="104"/>
      <c r="C2" s="104"/>
      <c r="D2" s="104"/>
      <c r="E2" s="104"/>
      <c r="F2" s="104"/>
      <c r="G2" s="104"/>
    </row>
    <row r="3" spans="1:10" ht="21.75" customHeight="1" x14ac:dyDescent="0.25">
      <c r="A3" s="104" t="s">
        <v>92</v>
      </c>
      <c r="B3" s="104"/>
      <c r="C3" s="104"/>
      <c r="D3" s="104"/>
      <c r="E3" s="104"/>
      <c r="F3" s="104"/>
      <c r="G3" s="104"/>
    </row>
    <row r="4" spans="1:10" ht="8.25" customHeight="1" x14ac:dyDescent="0.25">
      <c r="B4" s="91"/>
      <c r="C4" s="91"/>
      <c r="D4" s="91"/>
      <c r="E4" s="92"/>
      <c r="F4" s="92"/>
      <c r="G4" s="92"/>
    </row>
    <row r="5" spans="1:10" x14ac:dyDescent="0.25">
      <c r="A5" s="104" t="s">
        <v>105</v>
      </c>
      <c r="B5" s="104"/>
      <c r="C5" s="104"/>
      <c r="D5" s="104"/>
      <c r="E5" s="104"/>
      <c r="F5" s="104"/>
      <c r="G5" s="104"/>
    </row>
    <row r="6" spans="1:10" ht="9.75" customHeight="1" x14ac:dyDescent="0.25">
      <c r="B6" s="91"/>
      <c r="C6" s="91"/>
      <c r="D6" s="91"/>
      <c r="E6" s="92"/>
      <c r="F6" s="92"/>
      <c r="G6" s="92"/>
    </row>
    <row r="7" spans="1:10" x14ac:dyDescent="0.25">
      <c r="B7" s="104" t="s">
        <v>88</v>
      </c>
      <c r="C7" s="104"/>
      <c r="D7" s="104"/>
      <c r="E7" s="104"/>
      <c r="F7" s="104"/>
      <c r="G7" s="104"/>
    </row>
    <row r="9" spans="1:10" ht="10.5" customHeight="1" x14ac:dyDescent="0.25"/>
    <row r="10" spans="1:10" ht="15" customHeight="1" x14ac:dyDescent="0.25">
      <c r="C10" s="93" t="s">
        <v>23</v>
      </c>
      <c r="E10" s="100">
        <v>2017</v>
      </c>
      <c r="F10" s="101"/>
      <c r="G10" s="100">
        <v>2016</v>
      </c>
      <c r="H10" s="94"/>
    </row>
    <row r="11" spans="1:10" ht="15" customHeight="1" x14ac:dyDescent="0.25"/>
    <row r="12" spans="1:10" ht="15" customHeight="1" x14ac:dyDescent="0.25">
      <c r="B12" s="15" t="s">
        <v>93</v>
      </c>
      <c r="C12" s="95">
        <v>19</v>
      </c>
      <c r="D12" s="15"/>
      <c r="E12" s="21">
        <v>92065</v>
      </c>
      <c r="F12" s="21"/>
      <c r="G12" s="21">
        <v>81682</v>
      </c>
      <c r="J12" s="89"/>
    </row>
    <row r="13" spans="1:10" ht="15" customHeight="1" x14ac:dyDescent="0.25">
      <c r="B13" s="15" t="s">
        <v>21</v>
      </c>
      <c r="C13" s="95">
        <v>20</v>
      </c>
      <c r="D13" s="15"/>
      <c r="E13" s="21">
        <v>-29053</v>
      </c>
      <c r="F13" s="21"/>
      <c r="G13" s="21">
        <v>-28829</v>
      </c>
      <c r="J13" s="89"/>
    </row>
    <row r="14" spans="1:10" ht="15" customHeight="1" x14ac:dyDescent="0.25">
      <c r="B14" s="15" t="s">
        <v>91</v>
      </c>
      <c r="C14" s="15"/>
      <c r="D14" s="15"/>
      <c r="E14" s="21">
        <v>-9217</v>
      </c>
      <c r="F14" s="21"/>
      <c r="G14" s="21">
        <v>-9637</v>
      </c>
      <c r="J14" s="89"/>
    </row>
    <row r="15" spans="1:10" ht="5.0999999999999996" customHeight="1" x14ac:dyDescent="0.25">
      <c r="B15" s="15"/>
      <c r="C15" s="15"/>
      <c r="D15" s="15"/>
      <c r="E15" s="21"/>
      <c r="F15" s="21"/>
      <c r="G15" s="21"/>
      <c r="J15" s="89"/>
    </row>
    <row r="16" spans="1:10" ht="19.5" customHeight="1" x14ac:dyDescent="0.25">
      <c r="B16" s="13" t="s">
        <v>19</v>
      </c>
      <c r="C16" s="15"/>
      <c r="D16" s="15"/>
      <c r="E16" s="62">
        <f>SUM(E12:E15)</f>
        <v>53795</v>
      </c>
      <c r="F16" s="21">
        <f>SUM(F12:F15)</f>
        <v>0</v>
      </c>
      <c r="G16" s="62">
        <f>SUM(G12:G15)</f>
        <v>43216</v>
      </c>
      <c r="J16" s="89"/>
    </row>
    <row r="17" spans="2:11" ht="4.5" customHeight="1" x14ac:dyDescent="0.25">
      <c r="C17" s="15"/>
      <c r="D17" s="15"/>
      <c r="E17" s="21"/>
      <c r="F17" s="21"/>
      <c r="G17" s="21"/>
      <c r="J17" s="89"/>
    </row>
    <row r="18" spans="2:11" ht="15" customHeight="1" x14ac:dyDescent="0.25">
      <c r="B18" s="15" t="s">
        <v>27</v>
      </c>
      <c r="C18" s="95"/>
      <c r="D18" s="15"/>
      <c r="E18" s="87"/>
      <c r="F18" s="21"/>
      <c r="G18" s="87"/>
      <c r="J18" s="89"/>
    </row>
    <row r="19" spans="2:11" ht="15" customHeight="1" x14ac:dyDescent="0.25">
      <c r="B19" s="15" t="s">
        <v>94</v>
      </c>
      <c r="C19" s="24">
        <v>21</v>
      </c>
      <c r="E19" s="20">
        <v>-27668</v>
      </c>
      <c r="F19" s="20"/>
      <c r="G19" s="20">
        <v>-25990</v>
      </c>
      <c r="J19" s="89"/>
    </row>
    <row r="20" spans="2:11" ht="15" customHeight="1" x14ac:dyDescent="0.25">
      <c r="B20" s="13" t="s">
        <v>95</v>
      </c>
      <c r="C20" s="95"/>
      <c r="D20" s="15"/>
      <c r="E20" s="21">
        <v>212</v>
      </c>
      <c r="F20" s="21"/>
      <c r="G20" s="21">
        <v>135</v>
      </c>
      <c r="J20" s="89"/>
    </row>
    <row r="21" spans="2:11" ht="20.100000000000001" customHeight="1" x14ac:dyDescent="0.25">
      <c r="B21" s="15"/>
      <c r="E21" s="62">
        <f>SUM(E18:E20)</f>
        <v>-27456</v>
      </c>
      <c r="F21" s="20"/>
      <c r="G21" s="62">
        <f>SUM(G18:G20)</f>
        <v>-25855</v>
      </c>
      <c r="J21" s="89"/>
    </row>
    <row r="22" spans="2:11" ht="25.5" customHeight="1" x14ac:dyDescent="0.25">
      <c r="B22" s="15" t="s">
        <v>96</v>
      </c>
      <c r="E22" s="62">
        <f>E16+E21</f>
        <v>26339</v>
      </c>
      <c r="F22" s="20"/>
      <c r="G22" s="62">
        <f>G16+G21</f>
        <v>17361</v>
      </c>
      <c r="J22" s="89"/>
    </row>
    <row r="23" spans="2:11" ht="12.75" customHeight="1" x14ac:dyDescent="0.25">
      <c r="B23" s="15"/>
      <c r="E23" s="21"/>
      <c r="F23" s="20"/>
      <c r="G23" s="21"/>
      <c r="J23" s="89"/>
      <c r="K23" s="102"/>
    </row>
    <row r="24" spans="2:11" ht="15" customHeight="1" x14ac:dyDescent="0.25">
      <c r="B24" s="15" t="s">
        <v>97</v>
      </c>
      <c r="C24" s="95">
        <v>22</v>
      </c>
      <c r="D24" s="15"/>
      <c r="E24" s="21">
        <v>4297</v>
      </c>
      <c r="F24" s="21"/>
      <c r="G24" s="21">
        <v>4286</v>
      </c>
      <c r="J24" s="89"/>
    </row>
    <row r="25" spans="2:11" ht="15" customHeight="1" x14ac:dyDescent="0.25">
      <c r="B25" s="15" t="s">
        <v>98</v>
      </c>
      <c r="C25" s="95">
        <v>22</v>
      </c>
      <c r="D25" s="15"/>
      <c r="E25" s="21">
        <v>-6735</v>
      </c>
      <c r="F25" s="21"/>
      <c r="G25" s="21">
        <v>-8217</v>
      </c>
      <c r="J25" s="89"/>
    </row>
    <row r="26" spans="2:11" ht="15" customHeight="1" x14ac:dyDescent="0.25">
      <c r="B26" s="15" t="s">
        <v>99</v>
      </c>
      <c r="C26" s="95">
        <v>13</v>
      </c>
      <c r="D26" s="15"/>
      <c r="E26" s="17">
        <v>456</v>
      </c>
      <c r="F26" s="21"/>
      <c r="G26" s="17">
        <v>1635</v>
      </c>
      <c r="J26" s="89"/>
    </row>
    <row r="27" spans="2:11" ht="5.25" customHeight="1" x14ac:dyDescent="0.25">
      <c r="B27" s="15"/>
      <c r="C27" s="95"/>
      <c r="D27" s="15"/>
      <c r="E27" s="21"/>
      <c r="F27" s="21"/>
      <c r="G27" s="21"/>
      <c r="J27" s="89"/>
    </row>
    <row r="28" spans="2:11" ht="15.75" customHeight="1" x14ac:dyDescent="0.25">
      <c r="C28" s="15"/>
      <c r="D28" s="15"/>
      <c r="E28" s="17">
        <f>SUM(E24:E26)</f>
        <v>-1982</v>
      </c>
      <c r="F28" s="21"/>
      <c r="G28" s="10">
        <f>SUM(G24:G26)</f>
        <v>-2296</v>
      </c>
      <c r="J28" s="89"/>
    </row>
    <row r="29" spans="2:11" ht="19.5" customHeight="1" x14ac:dyDescent="0.25">
      <c r="B29" s="13" t="s">
        <v>87</v>
      </c>
      <c r="C29" s="15"/>
      <c r="D29" s="15"/>
      <c r="E29" s="21">
        <f>E22+E28</f>
        <v>24357</v>
      </c>
      <c r="F29" s="21"/>
      <c r="G29" s="21">
        <f>G22+G28</f>
        <v>15065</v>
      </c>
      <c r="J29" s="89"/>
    </row>
    <row r="30" spans="2:11" ht="8.25" customHeight="1" x14ac:dyDescent="0.25">
      <c r="B30" s="15"/>
      <c r="C30" s="15"/>
      <c r="D30" s="15"/>
      <c r="E30" s="21"/>
      <c r="F30" s="21"/>
      <c r="G30" s="12"/>
      <c r="J30" s="89"/>
    </row>
    <row r="31" spans="2:11" ht="15" customHeight="1" x14ac:dyDescent="0.25">
      <c r="B31" s="13" t="s">
        <v>101</v>
      </c>
      <c r="C31" s="95" t="s">
        <v>100</v>
      </c>
      <c r="D31" s="15"/>
      <c r="E31" s="21">
        <v>-8119</v>
      </c>
      <c r="F31" s="21"/>
      <c r="G31" s="21">
        <v>-5361</v>
      </c>
      <c r="J31" s="89"/>
    </row>
    <row r="32" spans="2:11" ht="15" customHeight="1" x14ac:dyDescent="0.25">
      <c r="B32" s="13" t="s">
        <v>102</v>
      </c>
      <c r="C32" s="95" t="s">
        <v>100</v>
      </c>
      <c r="D32" s="15"/>
      <c r="E32" s="21">
        <v>82</v>
      </c>
      <c r="F32" s="21"/>
      <c r="G32" s="21">
        <v>443</v>
      </c>
      <c r="J32" s="89"/>
    </row>
    <row r="33" spans="1:17" ht="6" customHeight="1" x14ac:dyDescent="0.25">
      <c r="C33" s="24"/>
      <c r="E33" s="20"/>
      <c r="F33" s="20"/>
      <c r="G33" s="20"/>
      <c r="J33" s="89"/>
    </row>
    <row r="34" spans="1:17" ht="20.25" customHeight="1" thickBot="1" x14ac:dyDescent="0.3">
      <c r="B34" s="13" t="s">
        <v>106</v>
      </c>
      <c r="E34" s="90">
        <f>E29+E31+E32</f>
        <v>16320</v>
      </c>
      <c r="F34" s="20"/>
      <c r="G34" s="90">
        <f>G29+G31+G32</f>
        <v>10147</v>
      </c>
      <c r="H34" s="96"/>
      <c r="J34" s="89"/>
    </row>
    <row r="35" spans="1:17" ht="15" customHeight="1" thickTop="1" x14ac:dyDescent="0.25">
      <c r="E35" s="20"/>
      <c r="F35" s="20"/>
      <c r="G35" s="16"/>
      <c r="J35" s="89"/>
    </row>
    <row r="36" spans="1:17" ht="15" customHeight="1" thickBot="1" x14ac:dyDescent="0.3">
      <c r="B36" s="13" t="s">
        <v>35</v>
      </c>
      <c r="E36" s="86">
        <v>5699850</v>
      </c>
      <c r="F36" s="20"/>
      <c r="G36" s="86">
        <v>5699850</v>
      </c>
      <c r="J36" s="89"/>
    </row>
    <row r="37" spans="1:17" ht="15" customHeight="1" thickTop="1" x14ac:dyDescent="0.25">
      <c r="E37" s="20"/>
      <c r="F37" s="20"/>
      <c r="G37" s="16"/>
      <c r="J37" s="89"/>
    </row>
    <row r="38" spans="1:17" ht="15" customHeight="1" thickBot="1" x14ac:dyDescent="0.3">
      <c r="B38" s="13" t="s">
        <v>103</v>
      </c>
      <c r="E38" s="99">
        <f>E34/E36*1000</f>
        <v>2.86</v>
      </c>
      <c r="F38" s="20"/>
      <c r="G38" s="99">
        <f>G34/G36*1000</f>
        <v>1.78</v>
      </c>
      <c r="J38" s="89"/>
    </row>
    <row r="39" spans="1:17" ht="16.5" thickTop="1" x14ac:dyDescent="0.25">
      <c r="E39" s="88"/>
      <c r="F39" s="20"/>
      <c r="G39" s="88"/>
      <c r="J39" s="89"/>
    </row>
    <row r="40" spans="1:17" x14ac:dyDescent="0.25">
      <c r="E40" s="88"/>
      <c r="F40" s="20"/>
      <c r="G40" s="88"/>
    </row>
    <row r="41" spans="1:17" x14ac:dyDescent="0.25">
      <c r="A41" s="103" t="s">
        <v>104</v>
      </c>
      <c r="B41" s="103"/>
      <c r="C41" s="103"/>
      <c r="D41" s="103"/>
      <c r="E41" s="103"/>
      <c r="F41" s="103"/>
      <c r="G41" s="103"/>
    </row>
    <row r="42" spans="1:17" x14ac:dyDescent="0.25">
      <c r="H42" s="97"/>
      <c r="I42" s="97"/>
      <c r="J42" s="97"/>
      <c r="K42" s="97"/>
      <c r="L42" s="97"/>
      <c r="M42" s="97"/>
      <c r="N42" s="97"/>
      <c r="O42" s="97"/>
      <c r="P42" s="97"/>
      <c r="Q42" s="97"/>
    </row>
    <row r="43" spans="1:17" x14ac:dyDescent="0.25">
      <c r="B43" s="97"/>
      <c r="C43" s="97"/>
      <c r="D43" s="97"/>
      <c r="E43" s="98"/>
      <c r="F43" s="98"/>
      <c r="G43" s="98"/>
    </row>
  </sheetData>
  <mergeCells count="6">
    <mergeCell ref="A41:G41"/>
    <mergeCell ref="B7:G7"/>
    <mergeCell ref="A1:G1"/>
    <mergeCell ref="A2:G2"/>
    <mergeCell ref="A3:G3"/>
    <mergeCell ref="A5:G5"/>
  </mergeCells>
  <phoneticPr fontId="0" type="noConversion"/>
  <printOptions horizontalCentered="1"/>
  <pageMargins left="0.39370078740157483" right="0.39370078740157483" top="0.78740157480314965" bottom="0.78740157480314965" header="0.19685039370078741" footer="0.19685039370078741"/>
  <pageSetup scale="8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3"/>
  <sheetViews>
    <sheetView workbookViewId="0">
      <selection activeCell="O27" sqref="O27"/>
    </sheetView>
  </sheetViews>
  <sheetFormatPr defaultRowHeight="12.75" x14ac:dyDescent="0.2"/>
  <cols>
    <col min="1" max="1" width="29.7109375" bestFit="1" customWidth="1"/>
    <col min="2" max="2" width="11.140625" bestFit="1" customWidth="1"/>
    <col min="3" max="3" width="12.5703125" customWidth="1"/>
    <col min="4" max="4" width="13.140625" customWidth="1"/>
    <col min="5" max="5" width="17.140625" customWidth="1"/>
    <col min="6" max="6" width="2.140625" hidden="1" customWidth="1"/>
    <col min="7" max="7" width="9.85546875" hidden="1" customWidth="1"/>
    <col min="8" max="8" width="17" hidden="1" customWidth="1"/>
    <col min="9" max="9" width="14.7109375" hidden="1" customWidth="1"/>
    <col min="10" max="10" width="17.42578125" hidden="1" customWidth="1"/>
    <col min="11" max="12" width="10.140625" hidden="1" customWidth="1"/>
    <col min="13" max="13" width="0" hidden="1" customWidth="1"/>
  </cols>
  <sheetData>
    <row r="1" spans="1:12" ht="15.75" x14ac:dyDescent="0.25">
      <c r="A1" s="108" t="s">
        <v>28</v>
      </c>
      <c r="B1" s="108"/>
      <c r="C1" s="108"/>
      <c r="D1" s="108"/>
      <c r="E1" s="108"/>
      <c r="F1" s="108"/>
      <c r="G1" s="108"/>
      <c r="H1" s="108"/>
      <c r="I1" s="108"/>
      <c r="J1" s="108"/>
      <c r="K1" s="25"/>
    </row>
    <row r="3" spans="1:12" x14ac:dyDescent="0.2">
      <c r="A3" s="26" t="s">
        <v>50</v>
      </c>
      <c r="F3" s="27">
        <v>1</v>
      </c>
      <c r="G3" s="26" t="s">
        <v>29</v>
      </c>
    </row>
    <row r="5" spans="1:12" x14ac:dyDescent="0.2">
      <c r="G5" s="28" t="s">
        <v>30</v>
      </c>
    </row>
    <row r="6" spans="1:12" s="29" customFormat="1" x14ac:dyDescent="0.2">
      <c r="B6" s="107" t="s">
        <v>31</v>
      </c>
      <c r="C6" s="105" t="s">
        <v>32</v>
      </c>
      <c r="D6" s="105" t="s">
        <v>33</v>
      </c>
      <c r="E6" s="105" t="s">
        <v>34</v>
      </c>
      <c r="G6" s="107" t="s">
        <v>31</v>
      </c>
      <c r="H6" s="105" t="s">
        <v>35</v>
      </c>
      <c r="I6" s="105" t="s">
        <v>36</v>
      </c>
      <c r="J6" s="105" t="s">
        <v>37</v>
      </c>
    </row>
    <row r="7" spans="1:12" x14ac:dyDescent="0.2">
      <c r="B7" s="107"/>
      <c r="C7" s="105"/>
      <c r="D7" s="105"/>
      <c r="E7" s="105"/>
      <c r="G7" s="107"/>
      <c r="H7" s="105"/>
      <c r="I7" s="105"/>
      <c r="J7" s="105"/>
    </row>
    <row r="8" spans="1:12" x14ac:dyDescent="0.2">
      <c r="A8" s="30" t="s">
        <v>38</v>
      </c>
      <c r="B8" s="32">
        <v>40178</v>
      </c>
      <c r="C8" s="33">
        <v>5699850</v>
      </c>
      <c r="D8" s="37">
        <v>0</v>
      </c>
      <c r="E8" s="35">
        <f>C8-D8</f>
        <v>5699850</v>
      </c>
      <c r="G8" s="32">
        <v>40130</v>
      </c>
      <c r="H8" s="33">
        <f>C10</f>
        <v>5699850</v>
      </c>
      <c r="I8" s="34" t="s">
        <v>39</v>
      </c>
      <c r="J8" s="35">
        <f>H8*13.15%</f>
        <v>749530</v>
      </c>
      <c r="K8" s="36">
        <v>40178</v>
      </c>
      <c r="L8" s="36">
        <f>G8</f>
        <v>40130</v>
      </c>
    </row>
    <row r="9" spans="1:12" x14ac:dyDescent="0.2">
      <c r="A9" s="31"/>
      <c r="B9" s="32"/>
      <c r="C9" s="33"/>
      <c r="D9" s="37">
        <v>0</v>
      </c>
      <c r="E9" s="35">
        <f>C9-D9</f>
        <v>0</v>
      </c>
      <c r="G9" s="31"/>
      <c r="H9" s="33">
        <f>H8</f>
        <v>5699850</v>
      </c>
      <c r="I9" s="31"/>
      <c r="J9" s="38">
        <f>J8</f>
        <v>749530</v>
      </c>
      <c r="L9" s="39">
        <f>K8-L8</f>
        <v>48</v>
      </c>
    </row>
    <row r="10" spans="1:12" x14ac:dyDescent="0.2">
      <c r="A10" s="30" t="s">
        <v>40</v>
      </c>
      <c r="B10" s="32">
        <f>B8</f>
        <v>40178</v>
      </c>
      <c r="C10" s="40">
        <f>C8</f>
        <v>5699850</v>
      </c>
      <c r="D10" s="41">
        <f>D8</f>
        <v>0</v>
      </c>
      <c r="E10" s="42">
        <f>E8</f>
        <v>5699850</v>
      </c>
      <c r="L10" s="43">
        <f>48*100/365</f>
        <v>13.15</v>
      </c>
    </row>
    <row r="11" spans="1:12" x14ac:dyDescent="0.2">
      <c r="A11" s="31"/>
      <c r="B11" s="32"/>
      <c r="C11" s="33"/>
      <c r="D11" s="37">
        <v>0</v>
      </c>
      <c r="E11" s="35">
        <f>C11-D11</f>
        <v>0</v>
      </c>
    </row>
    <row r="12" spans="1:12" x14ac:dyDescent="0.2">
      <c r="A12" s="30" t="s">
        <v>41</v>
      </c>
      <c r="B12" s="31"/>
      <c r="C12" s="40">
        <f>C10+C11</f>
        <v>5699850</v>
      </c>
      <c r="D12" s="41">
        <f>D11</f>
        <v>0</v>
      </c>
      <c r="E12" s="42">
        <f>E10+E11</f>
        <v>5699850</v>
      </c>
    </row>
    <row r="13" spans="1:12" x14ac:dyDescent="0.2">
      <c r="G13" s="28" t="s">
        <v>42</v>
      </c>
    </row>
    <row r="14" spans="1:12" x14ac:dyDescent="0.2">
      <c r="G14" s="107" t="s">
        <v>31</v>
      </c>
      <c r="H14" s="105" t="s">
        <v>35</v>
      </c>
      <c r="I14" s="105" t="s">
        <v>36</v>
      </c>
      <c r="J14" s="105" t="s">
        <v>37</v>
      </c>
    </row>
    <row r="15" spans="1:12" s="52" customFormat="1" x14ac:dyDescent="0.2">
      <c r="A15" s="52" t="s">
        <v>51</v>
      </c>
      <c r="G15" s="107"/>
      <c r="H15" s="105"/>
      <c r="I15" s="105"/>
      <c r="J15" s="105"/>
    </row>
    <row r="16" spans="1:12" s="52" customFormat="1" x14ac:dyDescent="0.2">
      <c r="A16" s="52" t="s">
        <v>52</v>
      </c>
      <c r="G16" s="53">
        <v>40179</v>
      </c>
      <c r="H16" s="54">
        <v>264000</v>
      </c>
      <c r="I16" s="55" t="s">
        <v>43</v>
      </c>
      <c r="J16" s="56">
        <f>H16*100%</f>
        <v>264000</v>
      </c>
    </row>
    <row r="17" spans="1:12" s="52" customFormat="1" x14ac:dyDescent="0.2">
      <c r="A17" s="52" t="s">
        <v>53</v>
      </c>
      <c r="G17" s="53">
        <v>40451</v>
      </c>
      <c r="H17" s="54">
        <f>C11</f>
        <v>0</v>
      </c>
      <c r="I17" s="55" t="s">
        <v>44</v>
      </c>
      <c r="J17" s="56">
        <f>H17*25.21%</f>
        <v>0</v>
      </c>
      <c r="K17" s="57">
        <v>40543</v>
      </c>
      <c r="L17" s="57">
        <f>G17</f>
        <v>40451</v>
      </c>
    </row>
    <row r="18" spans="1:12" x14ac:dyDescent="0.2">
      <c r="G18" s="31"/>
      <c r="H18" s="33">
        <f>SUM(H16:H17)</f>
        <v>264000</v>
      </c>
      <c r="I18" s="31"/>
      <c r="J18" s="38">
        <f>SUM(J16:J17)</f>
        <v>264000</v>
      </c>
      <c r="L18" s="39">
        <f>K17-L17</f>
        <v>92</v>
      </c>
    </row>
    <row r="19" spans="1:12" s="26" customFormat="1" x14ac:dyDescent="0.2">
      <c r="A19" s="26" t="s">
        <v>54</v>
      </c>
      <c r="L19" s="58">
        <f>92*100/365</f>
        <v>25.21</v>
      </c>
    </row>
    <row r="20" spans="1:12" s="26" customFormat="1" x14ac:dyDescent="0.2">
      <c r="A20" s="26" t="s">
        <v>55</v>
      </c>
    </row>
    <row r="21" spans="1:12" s="26" customFormat="1" x14ac:dyDescent="0.2">
      <c r="A21" s="26" t="s">
        <v>56</v>
      </c>
    </row>
    <row r="22" spans="1:12" s="26" customFormat="1" x14ac:dyDescent="0.2">
      <c r="A22" s="26" t="s">
        <v>57</v>
      </c>
    </row>
    <row r="23" spans="1:12" s="26" customFormat="1" x14ac:dyDescent="0.2">
      <c r="A23" s="26" t="s">
        <v>58</v>
      </c>
    </row>
    <row r="25" spans="1:12" x14ac:dyDescent="0.2">
      <c r="F25" s="27">
        <v>2</v>
      </c>
      <c r="G25" s="26" t="s">
        <v>45</v>
      </c>
    </row>
    <row r="26" spans="1:12" x14ac:dyDescent="0.2">
      <c r="G26" s="107" t="s">
        <v>46</v>
      </c>
      <c r="H26" s="105" t="s">
        <v>47</v>
      </c>
      <c r="I26" s="105" t="s">
        <v>35</v>
      </c>
      <c r="J26" s="105" t="s">
        <v>48</v>
      </c>
    </row>
    <row r="27" spans="1:12" ht="50.25" customHeight="1" x14ac:dyDescent="0.2">
      <c r="G27" s="107"/>
      <c r="H27" s="105"/>
      <c r="I27" s="105"/>
      <c r="J27" s="105"/>
    </row>
    <row r="28" spans="1:12" x14ac:dyDescent="0.2">
      <c r="G28" s="34">
        <v>2010</v>
      </c>
      <c r="H28" s="44">
        <f>'[1]DRE CAA'!C48</f>
        <v>-2043</v>
      </c>
      <c r="I28" s="33">
        <f>J18</f>
        <v>264000</v>
      </c>
      <c r="J28" s="45">
        <f>H28/I28</f>
        <v>-0.01</v>
      </c>
    </row>
    <row r="29" spans="1:12" x14ac:dyDescent="0.2">
      <c r="G29" s="34">
        <v>2009</v>
      </c>
      <c r="H29" s="44">
        <f>'[1]DRE CAA'!E48</f>
        <v>-2950</v>
      </c>
      <c r="I29" s="33">
        <f>J8</f>
        <v>749530</v>
      </c>
      <c r="J29" s="46">
        <f>H29/I29</f>
        <v>0</v>
      </c>
    </row>
    <row r="35" spans="7:10" x14ac:dyDescent="0.2">
      <c r="G35" s="26" t="s">
        <v>49</v>
      </c>
    </row>
    <row r="37" spans="7:10" x14ac:dyDescent="0.2">
      <c r="G37" s="26"/>
      <c r="I37" s="47"/>
      <c r="J37" s="47"/>
    </row>
    <row r="38" spans="7:10" ht="24.75" customHeight="1" x14ac:dyDescent="0.2">
      <c r="G38" s="106"/>
      <c r="H38" s="106"/>
      <c r="I38" s="48"/>
      <c r="J38" s="48"/>
    </row>
    <row r="39" spans="7:10" ht="4.5" customHeight="1" x14ac:dyDescent="0.2"/>
    <row r="40" spans="7:10" x14ac:dyDescent="0.2">
      <c r="G40" s="26"/>
    </row>
    <row r="41" spans="7:10" ht="26.25" customHeight="1" x14ac:dyDescent="0.2">
      <c r="G41" s="106"/>
      <c r="H41" s="106"/>
      <c r="I41" s="49"/>
      <c r="J41" s="49"/>
    </row>
    <row r="42" spans="7:10" ht="4.5" customHeight="1" x14ac:dyDescent="0.2"/>
    <row r="43" spans="7:10" ht="30" customHeight="1" x14ac:dyDescent="0.2">
      <c r="G43" s="106"/>
      <c r="H43" s="106"/>
      <c r="I43" s="50"/>
      <c r="J43" s="51"/>
    </row>
  </sheetData>
  <mergeCells count="20">
    <mergeCell ref="A1:J1"/>
    <mergeCell ref="B6:B7"/>
    <mergeCell ref="C6:C7"/>
    <mergeCell ref="D6:D7"/>
    <mergeCell ref="E6:E7"/>
    <mergeCell ref="I6:I7"/>
    <mergeCell ref="J6:J7"/>
    <mergeCell ref="G6:G7"/>
    <mergeCell ref="H6:H7"/>
    <mergeCell ref="J14:J15"/>
    <mergeCell ref="G43:H43"/>
    <mergeCell ref="G26:G27"/>
    <mergeCell ref="H26:H27"/>
    <mergeCell ref="G38:H38"/>
    <mergeCell ref="J26:J27"/>
    <mergeCell ref="G14:G15"/>
    <mergeCell ref="H14:H15"/>
    <mergeCell ref="I26:I27"/>
    <mergeCell ref="G41:H41"/>
    <mergeCell ref="I14:I15"/>
  </mergeCells>
  <phoneticPr fontId="25" type="noConversion"/>
  <pageMargins left="0.17" right="0.79" top="0.984251969" bottom="0.984251969" header="0.49212598499999999" footer="0.49212598499999999"/>
  <pageSetup paperSize="9" orientation="portrait" r:id="rId1"/>
  <headerFooter alignWithMargins="0"/>
  <ignoredErrors>
    <ignoredError sqref="E10 D12" 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73"/>
  <sheetViews>
    <sheetView topLeftCell="A16" zoomScale="80" zoomScaleNormal="80" workbookViewId="0">
      <selection activeCell="A28" sqref="A28:IV28"/>
    </sheetView>
  </sheetViews>
  <sheetFormatPr defaultRowHeight="15.75" x14ac:dyDescent="0.25"/>
  <cols>
    <col min="1" max="1" width="3.140625" style="2" customWidth="1"/>
    <col min="2" max="2" width="2.85546875" style="2" customWidth="1"/>
    <col min="3" max="3" width="46.28515625" style="2" customWidth="1"/>
    <col min="4" max="5" width="1.7109375" style="2" customWidth="1"/>
    <col min="6" max="6" width="15.28515625" style="3" hidden="1" customWidth="1"/>
    <col min="7" max="7" width="1.7109375" style="5" hidden="1" customWidth="1"/>
    <col min="8" max="8" width="15.28515625" style="19" hidden="1" customWidth="1"/>
    <col min="9" max="9" width="1.7109375" style="75" hidden="1" customWidth="1"/>
    <col min="10" max="11" width="1.7109375" style="3" hidden="1" customWidth="1"/>
    <col min="12" max="12" width="14" style="3" hidden="1" customWidth="1"/>
    <col min="13" max="13" width="1.28515625" style="2" hidden="1" customWidth="1"/>
    <col min="14" max="14" width="9.42578125" style="9" hidden="1" customWidth="1"/>
    <col min="15" max="15" width="1.28515625" style="2" customWidth="1"/>
    <col min="16" max="16" width="15.28515625" style="11" customWidth="1"/>
    <col min="17" max="17" width="1.7109375" style="8" customWidth="1"/>
    <col min="18" max="18" width="15.28515625" style="11" customWidth="1"/>
    <col min="19" max="21" width="1.7109375" style="2" customWidth="1"/>
    <col min="22" max="22" width="17.7109375" style="11" bestFit="1" customWidth="1"/>
    <col min="23" max="23" width="14" style="2" bestFit="1" customWidth="1"/>
    <col min="24" max="24" width="12.85546875" style="2" bestFit="1" customWidth="1"/>
    <col min="25" max="16384" width="9.140625" style="2"/>
  </cols>
  <sheetData>
    <row r="1" spans="3:24" x14ac:dyDescent="0.25">
      <c r="C1" s="110" t="s">
        <v>59</v>
      </c>
      <c r="D1" s="110"/>
      <c r="E1" s="110"/>
      <c r="F1" s="110"/>
      <c r="G1" s="110"/>
      <c r="H1" s="110"/>
      <c r="I1" s="110"/>
      <c r="J1" s="110"/>
      <c r="K1" s="110"/>
      <c r="L1" s="110"/>
      <c r="M1" s="110"/>
      <c r="N1" s="110"/>
      <c r="O1" s="110"/>
      <c r="P1" s="110"/>
      <c r="Q1" s="110"/>
      <c r="R1" s="110"/>
      <c r="S1" s="110"/>
      <c r="T1" s="110"/>
      <c r="U1" s="110"/>
      <c r="V1" s="110"/>
    </row>
    <row r="2" spans="3:24" x14ac:dyDescent="0.25">
      <c r="C2" s="110"/>
      <c r="D2" s="110"/>
      <c r="E2" s="110"/>
      <c r="F2" s="110"/>
      <c r="G2" s="110"/>
      <c r="H2" s="110"/>
      <c r="I2" s="110"/>
      <c r="J2" s="110"/>
      <c r="K2" s="110"/>
      <c r="L2" s="110"/>
      <c r="M2" s="110"/>
      <c r="N2" s="110"/>
      <c r="O2" s="110"/>
      <c r="P2" s="110"/>
      <c r="Q2" s="110"/>
      <c r="R2" s="110"/>
    </row>
    <row r="3" spans="3:24" x14ac:dyDescent="0.25">
      <c r="C3" s="110" t="s">
        <v>60</v>
      </c>
      <c r="D3" s="110"/>
      <c r="E3" s="110"/>
      <c r="F3" s="110"/>
      <c r="G3" s="110"/>
      <c r="H3" s="110"/>
      <c r="I3" s="110"/>
      <c r="J3" s="110"/>
      <c r="K3" s="110"/>
      <c r="L3" s="110"/>
      <c r="M3" s="110"/>
      <c r="N3" s="110"/>
      <c r="O3" s="110"/>
      <c r="P3" s="110"/>
      <c r="Q3" s="110"/>
      <c r="R3" s="110"/>
      <c r="S3" s="110"/>
      <c r="T3" s="110"/>
      <c r="U3" s="110"/>
      <c r="V3" s="110"/>
    </row>
    <row r="4" spans="3:24" x14ac:dyDescent="0.25">
      <c r="C4" s="1"/>
      <c r="D4" s="1"/>
      <c r="E4" s="1"/>
      <c r="F4" s="63"/>
      <c r="G4" s="64"/>
      <c r="H4" s="63"/>
      <c r="I4" s="63"/>
      <c r="J4" s="63"/>
      <c r="K4" s="63"/>
      <c r="L4" s="63"/>
      <c r="M4" s="1"/>
      <c r="N4" s="1"/>
      <c r="O4" s="1"/>
      <c r="P4" s="65"/>
      <c r="Q4" s="66"/>
      <c r="R4" s="65"/>
    </row>
    <row r="5" spans="3:24" x14ac:dyDescent="0.25">
      <c r="C5" s="110" t="s">
        <v>0</v>
      </c>
      <c r="D5" s="110"/>
      <c r="E5" s="110"/>
      <c r="F5" s="110"/>
      <c r="G5" s="110"/>
      <c r="H5" s="110"/>
      <c r="I5" s="110"/>
      <c r="J5" s="110"/>
      <c r="K5" s="110"/>
      <c r="L5" s="110"/>
      <c r="M5" s="110"/>
      <c r="N5" s="110"/>
      <c r="O5" s="110"/>
      <c r="P5" s="110"/>
      <c r="Q5" s="110"/>
      <c r="R5" s="110"/>
      <c r="S5" s="110"/>
      <c r="T5" s="110"/>
      <c r="U5" s="110"/>
      <c r="V5" s="110"/>
    </row>
    <row r="6" spans="3:24" x14ac:dyDescent="0.25">
      <c r="F6" s="109" t="s">
        <v>61</v>
      </c>
      <c r="G6" s="109"/>
      <c r="H6" s="109"/>
      <c r="I6" s="109"/>
      <c r="J6" s="109"/>
      <c r="K6" s="109"/>
      <c r="L6" s="109"/>
      <c r="P6" s="109" t="s">
        <v>62</v>
      </c>
      <c r="Q6" s="109"/>
      <c r="R6" s="109"/>
      <c r="S6" s="109"/>
      <c r="T6" s="109"/>
      <c r="U6" s="109"/>
      <c r="V6" s="109"/>
    </row>
    <row r="7" spans="3:24" s="67" customFormat="1" x14ac:dyDescent="0.25">
      <c r="F7" s="68" t="s">
        <v>63</v>
      </c>
      <c r="G7" s="69"/>
      <c r="H7" s="68" t="s">
        <v>64</v>
      </c>
      <c r="I7" s="70"/>
      <c r="J7" s="71"/>
      <c r="K7" s="71"/>
      <c r="L7" s="63" t="s">
        <v>65</v>
      </c>
      <c r="P7" s="72">
        <v>40543</v>
      </c>
      <c r="Q7" s="73"/>
      <c r="R7" s="74" t="s">
        <v>64</v>
      </c>
      <c r="S7" s="70"/>
      <c r="T7" s="71"/>
      <c r="U7" s="71"/>
      <c r="V7" s="65" t="s">
        <v>65</v>
      </c>
    </row>
    <row r="8" spans="3:24" x14ac:dyDescent="0.25">
      <c r="C8" s="2" t="s">
        <v>1</v>
      </c>
      <c r="F8" s="3">
        <f>F19+F29+F36+1</f>
        <v>536138549</v>
      </c>
      <c r="H8" s="3">
        <f>H19+H29+H36+1</f>
        <v>473998363</v>
      </c>
      <c r="P8" s="11">
        <f>P19+P29+P36</f>
        <v>44262891.68</v>
      </c>
      <c r="R8" s="11">
        <f>R19+R29+R36</f>
        <v>49348347.18</v>
      </c>
      <c r="W8" s="3"/>
    </row>
    <row r="9" spans="3:24" ht="6" customHeight="1" x14ac:dyDescent="0.25"/>
    <row r="10" spans="3:24" x14ac:dyDescent="0.25">
      <c r="C10" s="2" t="s">
        <v>3</v>
      </c>
      <c r="W10" s="3"/>
    </row>
    <row r="11" spans="3:24" x14ac:dyDescent="0.25">
      <c r="C11" s="4" t="s">
        <v>22</v>
      </c>
      <c r="F11" s="3">
        <f>[2]SAAB!$X$13</f>
        <v>45028833</v>
      </c>
      <c r="H11" s="3">
        <f>3297044.4+38158501.91</f>
        <v>41455546</v>
      </c>
      <c r="L11" s="3">
        <f>+F11-H11</f>
        <v>3573287</v>
      </c>
      <c r="P11" s="11">
        <v>130302.14</v>
      </c>
      <c r="R11" s="11">
        <v>1861016.53</v>
      </c>
      <c r="S11" s="76"/>
      <c r="V11" s="11">
        <f>+P11-R11</f>
        <v>-1730714.39</v>
      </c>
    </row>
    <row r="12" spans="3:24" x14ac:dyDescent="0.25">
      <c r="C12" s="4" t="s">
        <v>6</v>
      </c>
      <c r="D12" s="4"/>
      <c r="E12" s="4"/>
      <c r="F12" s="5">
        <f>[2]SAAB!$X$14</f>
        <v>75173933</v>
      </c>
      <c r="H12" s="5">
        <v>67982350</v>
      </c>
      <c r="L12" s="3">
        <f t="shared" ref="L12:L19" si="0">+F12-H12</f>
        <v>7191583</v>
      </c>
      <c r="P12" s="11">
        <v>5129077.4800000004</v>
      </c>
      <c r="R12" s="11">
        <v>4939521.88</v>
      </c>
      <c r="S12" s="76"/>
      <c r="T12" s="77"/>
      <c r="V12" s="11">
        <f t="shared" ref="V12:V19" si="1">+P12-R12</f>
        <v>189555.6</v>
      </c>
      <c r="X12" s="60"/>
    </row>
    <row r="13" spans="3:24" x14ac:dyDescent="0.25">
      <c r="C13" s="2" t="s">
        <v>24</v>
      </c>
      <c r="F13" s="3">
        <f>[2]SAAB!$X$25</f>
        <v>12542707</v>
      </c>
      <c r="H13" s="3">
        <v>7162296</v>
      </c>
      <c r="J13" s="5"/>
      <c r="L13" s="3">
        <f t="shared" si="0"/>
        <v>5380411</v>
      </c>
      <c r="P13" s="11">
        <v>2796753.98</v>
      </c>
      <c r="R13" s="11">
        <v>298707.49</v>
      </c>
      <c r="S13" s="76"/>
      <c r="V13" s="11">
        <f t="shared" si="1"/>
        <v>2498046.4900000002</v>
      </c>
    </row>
    <row r="14" spans="3:24" x14ac:dyDescent="0.25">
      <c r="C14" s="2" t="s">
        <v>8</v>
      </c>
      <c r="F14" s="3">
        <f>[2]SAAB!$X$28</f>
        <v>1710471</v>
      </c>
      <c r="H14" s="3">
        <v>1327866</v>
      </c>
      <c r="L14" s="3">
        <f t="shared" si="0"/>
        <v>382605</v>
      </c>
      <c r="P14" s="11">
        <v>330223.87</v>
      </c>
      <c r="R14" s="11">
        <v>374400.85</v>
      </c>
      <c r="S14" s="76"/>
      <c r="V14" s="11">
        <f t="shared" si="1"/>
        <v>-44176.98</v>
      </c>
    </row>
    <row r="15" spans="3:24" hidden="1" x14ac:dyDescent="0.25">
      <c r="C15" s="2" t="s">
        <v>66</v>
      </c>
      <c r="F15" s="19">
        <f>[2]SAAB!$X$27</f>
        <v>24214676</v>
      </c>
      <c r="H15" s="19">
        <v>195484</v>
      </c>
      <c r="L15" s="3">
        <f t="shared" si="0"/>
        <v>24019192</v>
      </c>
      <c r="P15" s="11">
        <v>0</v>
      </c>
      <c r="R15" s="11">
        <v>0</v>
      </c>
      <c r="S15" s="76"/>
      <c r="V15" s="11">
        <f t="shared" si="1"/>
        <v>0</v>
      </c>
    </row>
    <row r="16" spans="3:24" x14ac:dyDescent="0.25">
      <c r="C16" s="2" t="s">
        <v>67</v>
      </c>
      <c r="F16" s="19">
        <f>[2]SAAB!$X$29</f>
        <v>1042362</v>
      </c>
      <c r="H16" s="19">
        <v>695262</v>
      </c>
      <c r="L16" s="3">
        <f t="shared" si="0"/>
        <v>347100</v>
      </c>
      <c r="P16" s="11">
        <v>129573.69</v>
      </c>
      <c r="R16" s="11">
        <v>87746.92</v>
      </c>
      <c r="S16" s="76"/>
      <c r="V16" s="11">
        <f t="shared" si="1"/>
        <v>41826.769999999997</v>
      </c>
    </row>
    <row r="17" spans="1:24" hidden="1" x14ac:dyDescent="0.25">
      <c r="C17" s="2" t="s">
        <v>68</v>
      </c>
      <c r="F17" s="19">
        <v>165031</v>
      </c>
      <c r="L17" s="3">
        <f t="shared" si="0"/>
        <v>165031</v>
      </c>
      <c r="P17" s="11">
        <v>0</v>
      </c>
      <c r="R17" s="11">
        <v>0</v>
      </c>
      <c r="S17" s="76"/>
      <c r="V17" s="11">
        <f t="shared" si="1"/>
        <v>0</v>
      </c>
    </row>
    <row r="18" spans="1:24" x14ac:dyDescent="0.25">
      <c r="C18" s="2" t="s">
        <v>69</v>
      </c>
      <c r="F18" s="3">
        <f>[2]SAAB!$X$26+[2]SAAB!$X$30+[2]SAAB!$X$31+[2]SAAB!$X$32+[2]SAAB!$X$15-F17</f>
        <v>4376144</v>
      </c>
      <c r="H18" s="3">
        <f>3065707.4+1575911.2</f>
        <v>4641619</v>
      </c>
      <c r="J18" s="5"/>
      <c r="L18" s="3">
        <f t="shared" si="0"/>
        <v>-265475</v>
      </c>
      <c r="P18" s="11">
        <v>953593.21</v>
      </c>
      <c r="R18" s="11">
        <v>232781.45</v>
      </c>
      <c r="S18" s="76"/>
      <c r="V18" s="11">
        <f t="shared" si="1"/>
        <v>720811.76</v>
      </c>
    </row>
    <row r="19" spans="1:24" x14ac:dyDescent="0.25">
      <c r="A19" s="22"/>
      <c r="F19" s="78">
        <f>SUM(F11:F18)</f>
        <v>164254157</v>
      </c>
      <c r="G19" s="75"/>
      <c r="H19" s="78">
        <f>SUM(H11:H18)</f>
        <v>123460423</v>
      </c>
      <c r="J19" s="5"/>
      <c r="L19" s="3">
        <f t="shared" si="0"/>
        <v>40793734</v>
      </c>
      <c r="P19" s="79">
        <f>SUM(P11:P18)</f>
        <v>9469524.3699999992</v>
      </c>
      <c r="R19" s="79">
        <f>SUM(R11:R18)</f>
        <v>7794175.1200000001</v>
      </c>
      <c r="S19" s="76"/>
      <c r="V19" s="11">
        <f t="shared" si="1"/>
        <v>1675349.25</v>
      </c>
    </row>
    <row r="20" spans="1:24" x14ac:dyDescent="0.25">
      <c r="H20" s="3"/>
      <c r="S20" s="80"/>
    </row>
    <row r="21" spans="1:24" x14ac:dyDescent="0.25">
      <c r="C21" s="2" t="s">
        <v>9</v>
      </c>
      <c r="H21" s="3"/>
    </row>
    <row r="22" spans="1:24" x14ac:dyDescent="0.25">
      <c r="C22" s="2" t="s">
        <v>10</v>
      </c>
      <c r="H22" s="3"/>
    </row>
    <row r="23" spans="1:24" hidden="1" x14ac:dyDescent="0.25">
      <c r="B23" s="22"/>
      <c r="C23" s="2" t="s">
        <v>70</v>
      </c>
      <c r="F23" s="3">
        <f>[2]SAAB!$X$40</f>
        <v>7509478</v>
      </c>
      <c r="H23" s="3">
        <v>9191471</v>
      </c>
      <c r="L23" s="3">
        <f t="shared" ref="L23:L71" si="2">+F23-H23</f>
        <v>-1681993</v>
      </c>
      <c r="V23" s="11">
        <f t="shared" ref="V23:V71" si="3">+P23-R23</f>
        <v>0</v>
      </c>
    </row>
    <row r="24" spans="1:24" hidden="1" x14ac:dyDescent="0.25">
      <c r="B24" s="22"/>
      <c r="C24" s="2" t="s">
        <v>20</v>
      </c>
      <c r="F24" s="3">
        <f>[2]SAAB!$X$41</f>
        <v>5272905</v>
      </c>
      <c r="H24" s="3">
        <v>7945090</v>
      </c>
      <c r="L24" s="3">
        <f t="shared" si="2"/>
        <v>-2672185</v>
      </c>
      <c r="V24" s="11">
        <f t="shared" si="3"/>
        <v>0</v>
      </c>
    </row>
    <row r="25" spans="1:24" x14ac:dyDescent="0.25">
      <c r="A25" s="22"/>
      <c r="B25" s="22"/>
      <c r="C25" s="2" t="s">
        <v>12</v>
      </c>
      <c r="F25" s="3">
        <f>[2]SAAB!$X$50</f>
        <v>18139158</v>
      </c>
      <c r="H25" s="3">
        <v>19621713</v>
      </c>
      <c r="J25" s="5"/>
      <c r="L25" s="3">
        <f t="shared" si="2"/>
        <v>-1482555</v>
      </c>
      <c r="P25" s="11">
        <v>0</v>
      </c>
      <c r="R25" s="11">
        <v>2353482.36</v>
      </c>
      <c r="V25" s="11">
        <f t="shared" si="3"/>
        <v>-2353482.36</v>
      </c>
    </row>
    <row r="26" spans="1:24" hidden="1" x14ac:dyDescent="0.25">
      <c r="A26" s="22"/>
      <c r="B26" s="22"/>
      <c r="C26" s="2" t="s">
        <v>71</v>
      </c>
      <c r="F26" s="19">
        <v>0</v>
      </c>
      <c r="H26" s="19">
        <v>0</v>
      </c>
      <c r="L26" s="3">
        <f t="shared" si="2"/>
        <v>0</v>
      </c>
      <c r="V26" s="11">
        <f t="shared" si="3"/>
        <v>0</v>
      </c>
    </row>
    <row r="27" spans="1:24" x14ac:dyDescent="0.25">
      <c r="A27" s="22"/>
      <c r="B27" s="22"/>
      <c r="C27" s="2" t="s">
        <v>8</v>
      </c>
      <c r="F27" s="3">
        <f>[2]SAAB!$X$51</f>
        <v>3757487</v>
      </c>
      <c r="H27" s="3">
        <v>9359128</v>
      </c>
      <c r="L27" s="3">
        <f t="shared" si="2"/>
        <v>-5601641</v>
      </c>
      <c r="P27" s="11">
        <v>1326792.44</v>
      </c>
      <c r="R27" s="11">
        <v>7540346.54</v>
      </c>
      <c r="V27" s="11">
        <f t="shared" si="3"/>
        <v>-6213554.0999999996</v>
      </c>
    </row>
    <row r="28" spans="1:24" hidden="1" x14ac:dyDescent="0.25">
      <c r="A28" s="22"/>
      <c r="B28" s="22"/>
      <c r="C28" s="2" t="s">
        <v>72</v>
      </c>
      <c r="F28" s="3">
        <f>[2]SAAB!$X$42+[2]SAAB!$X$48</f>
        <v>1067315</v>
      </c>
      <c r="H28" s="3">
        <f>35278+598137.01+184140.93</f>
        <v>817556</v>
      </c>
      <c r="L28" s="3">
        <f t="shared" si="2"/>
        <v>249759</v>
      </c>
      <c r="R28" s="11">
        <v>0</v>
      </c>
      <c r="V28" s="11">
        <f t="shared" si="3"/>
        <v>0</v>
      </c>
    </row>
    <row r="29" spans="1:24" x14ac:dyDescent="0.25">
      <c r="A29" s="22"/>
      <c r="F29" s="7">
        <f>SUM(F23:F28)</f>
        <v>35746343</v>
      </c>
      <c r="H29" s="7">
        <f>SUM(H23:H28)</f>
        <v>46934958</v>
      </c>
      <c r="I29" s="5"/>
      <c r="L29" s="3">
        <f t="shared" si="2"/>
        <v>-11188615</v>
      </c>
      <c r="P29" s="79">
        <f>SUM(P23:P28)</f>
        <v>1326792.44</v>
      </c>
      <c r="R29" s="79">
        <f>SUM(R23:R28)</f>
        <v>9893828.9000000004</v>
      </c>
      <c r="V29" s="11">
        <f t="shared" si="3"/>
        <v>-8567036.4600000009</v>
      </c>
      <c r="W29" s="2">
        <f>+V29*2</f>
        <v>-17134072.920000002</v>
      </c>
    </row>
    <row r="30" spans="1:24" x14ac:dyDescent="0.25">
      <c r="H30" s="3"/>
    </row>
    <row r="31" spans="1:24" x14ac:dyDescent="0.25">
      <c r="C31" s="2" t="s">
        <v>14</v>
      </c>
      <c r="H31" s="3"/>
    </row>
    <row r="32" spans="1:24" hidden="1" x14ac:dyDescent="0.25">
      <c r="C32" s="2" t="s">
        <v>73</v>
      </c>
      <c r="F32" s="3">
        <f>[2]SAAB!$X$59</f>
        <v>1746920</v>
      </c>
      <c r="H32" s="3">
        <f>'[3]Consolidação - SAAB'!$T$50</f>
        <v>1648544</v>
      </c>
      <c r="L32" s="3">
        <f t="shared" si="2"/>
        <v>98376</v>
      </c>
      <c r="P32" s="11">
        <v>0</v>
      </c>
      <c r="R32" s="11">
        <v>0</v>
      </c>
      <c r="V32" s="11">
        <f t="shared" si="3"/>
        <v>0</v>
      </c>
      <c r="X32" s="3"/>
    </row>
    <row r="33" spans="1:22" x14ac:dyDescent="0.25">
      <c r="A33" s="22"/>
      <c r="B33" s="22"/>
      <c r="C33" s="2" t="s">
        <v>16</v>
      </c>
      <c r="F33" s="3">
        <f>[2]SAAB!$X$72</f>
        <v>332626511</v>
      </c>
      <c r="H33" s="3">
        <v>299898654</v>
      </c>
      <c r="L33" s="3">
        <f t="shared" si="2"/>
        <v>32727857</v>
      </c>
      <c r="P33" s="11">
        <v>339707.54</v>
      </c>
      <c r="R33" s="11">
        <v>31480879.559999999</v>
      </c>
      <c r="V33" s="11">
        <f t="shared" si="3"/>
        <v>-31141172.02</v>
      </c>
    </row>
    <row r="34" spans="1:22" x14ac:dyDescent="0.25">
      <c r="A34" s="22"/>
      <c r="B34" s="22"/>
      <c r="C34" s="2" t="s">
        <v>18</v>
      </c>
      <c r="F34" s="3">
        <f>[2]SAAB!$X$79</f>
        <v>959451</v>
      </c>
      <c r="H34" s="3">
        <v>1503168</v>
      </c>
      <c r="L34" s="3">
        <f t="shared" si="2"/>
        <v>-543717</v>
      </c>
      <c r="P34" s="11">
        <v>46420.88</v>
      </c>
      <c r="R34" s="11">
        <v>133138.54999999999</v>
      </c>
      <c r="V34" s="11">
        <f t="shared" si="3"/>
        <v>-86717.67</v>
      </c>
    </row>
    <row r="35" spans="1:22" x14ac:dyDescent="0.25">
      <c r="A35" s="22"/>
      <c r="B35" s="22"/>
      <c r="C35" s="2" t="s">
        <v>25</v>
      </c>
      <c r="F35" s="3">
        <f>[2]SAAB!$X$78</f>
        <v>805166</v>
      </c>
      <c r="H35" s="3">
        <v>552615</v>
      </c>
      <c r="L35" s="3">
        <f t="shared" si="2"/>
        <v>252551</v>
      </c>
      <c r="P35" s="11">
        <v>33080446.449999999</v>
      </c>
      <c r="R35" s="11">
        <v>46325.05</v>
      </c>
      <c r="V35" s="11">
        <f t="shared" si="3"/>
        <v>33034121.399999999</v>
      </c>
    </row>
    <row r="36" spans="1:22" x14ac:dyDescent="0.25">
      <c r="A36" s="22"/>
      <c r="F36" s="7">
        <f>SUM(F32:F35)</f>
        <v>336138048</v>
      </c>
      <c r="H36" s="7">
        <f>SUM(H32:H35)</f>
        <v>303602981</v>
      </c>
      <c r="I36" s="5"/>
      <c r="L36" s="3">
        <f t="shared" si="2"/>
        <v>32535067</v>
      </c>
      <c r="P36" s="79">
        <f>SUM(P32:P35)</f>
        <v>33466574.870000001</v>
      </c>
      <c r="R36" s="79">
        <f>SUM(R32:R35)</f>
        <v>31660343.16</v>
      </c>
      <c r="V36" s="11">
        <f t="shared" si="3"/>
        <v>1806231.71</v>
      </c>
    </row>
    <row r="37" spans="1:22" x14ac:dyDescent="0.25">
      <c r="H37" s="3"/>
    </row>
    <row r="38" spans="1:22" x14ac:dyDescent="0.25">
      <c r="H38" s="3"/>
    </row>
    <row r="39" spans="1:22" x14ac:dyDescent="0.25">
      <c r="H39" s="3"/>
    </row>
    <row r="40" spans="1:22" x14ac:dyDescent="0.25">
      <c r="C40" s="2" t="s">
        <v>2</v>
      </c>
      <c r="H40" s="3"/>
    </row>
    <row r="41" spans="1:22" x14ac:dyDescent="0.25">
      <c r="C41" s="2" t="s">
        <v>3</v>
      </c>
      <c r="H41" s="3"/>
    </row>
    <row r="42" spans="1:22" x14ac:dyDescent="0.25">
      <c r="C42" s="2" t="s">
        <v>5</v>
      </c>
      <c r="F42" s="3">
        <f>[2]SAAB!$X$89</f>
        <v>11786393</v>
      </c>
      <c r="H42" s="3">
        <v>20284133</v>
      </c>
      <c r="L42" s="3">
        <f t="shared" si="2"/>
        <v>-8497740</v>
      </c>
      <c r="P42" s="11">
        <v>2219315.0699999998</v>
      </c>
      <c r="R42" s="11">
        <v>3092045.12</v>
      </c>
      <c r="V42" s="11">
        <f t="shared" si="3"/>
        <v>-872730.05</v>
      </c>
    </row>
    <row r="43" spans="1:22" x14ac:dyDescent="0.25">
      <c r="C43" s="2" t="s">
        <v>4</v>
      </c>
      <c r="F43" s="3">
        <f>[2]SAAB!$X$88</f>
        <v>20954059</v>
      </c>
      <c r="H43" s="3">
        <v>16006496</v>
      </c>
      <c r="L43" s="3">
        <f t="shared" si="2"/>
        <v>4947563</v>
      </c>
      <c r="P43" s="11">
        <v>3791417.85</v>
      </c>
      <c r="R43" s="11">
        <v>3623848.96</v>
      </c>
      <c r="V43" s="11">
        <f t="shared" si="3"/>
        <v>167568.89000000001</v>
      </c>
    </row>
    <row r="44" spans="1:22" x14ac:dyDescent="0.25">
      <c r="C44" s="4" t="s">
        <v>7</v>
      </c>
      <c r="D44" s="4"/>
      <c r="E44" s="4"/>
      <c r="F44" s="5">
        <f>[2]SAAB!$X$99-F45</f>
        <v>3736565</v>
      </c>
      <c r="H44" s="5">
        <v>4012730.92</v>
      </c>
      <c r="L44" s="3">
        <f t="shared" si="2"/>
        <v>-276166</v>
      </c>
      <c r="P44" s="11">
        <v>257851.64</v>
      </c>
      <c r="R44" s="11">
        <v>248964.41</v>
      </c>
      <c r="V44" s="11">
        <f t="shared" si="3"/>
        <v>8887.23</v>
      </c>
    </row>
    <row r="45" spans="1:22" x14ac:dyDescent="0.25">
      <c r="C45" s="2" t="s">
        <v>74</v>
      </c>
      <c r="F45" s="3">
        <v>28926830</v>
      </c>
      <c r="H45" s="3">
        <v>5038467.78</v>
      </c>
      <c r="L45" s="3">
        <f t="shared" si="2"/>
        <v>23888362</v>
      </c>
      <c r="P45" s="11">
        <v>0</v>
      </c>
      <c r="R45" s="11">
        <v>38833.18</v>
      </c>
      <c r="V45" s="11">
        <f t="shared" si="3"/>
        <v>-38833.18</v>
      </c>
    </row>
    <row r="46" spans="1:22" x14ac:dyDescent="0.25">
      <c r="B46" s="59"/>
      <c r="C46" s="2" t="s">
        <v>26</v>
      </c>
      <c r="F46" s="3">
        <f>[2]SAAB!$X$100</f>
        <v>9193129</v>
      </c>
      <c r="H46" s="3">
        <v>6276125</v>
      </c>
      <c r="I46" s="81"/>
      <c r="J46" s="81"/>
      <c r="K46" s="81"/>
      <c r="L46" s="3">
        <f t="shared" si="2"/>
        <v>2917004</v>
      </c>
      <c r="M46" s="59"/>
      <c r="N46" s="59"/>
      <c r="O46" s="59"/>
      <c r="P46" s="11">
        <v>773289.6</v>
      </c>
      <c r="Q46" s="82"/>
      <c r="R46" s="83">
        <v>571636.68000000005</v>
      </c>
      <c r="V46" s="11">
        <f t="shared" si="3"/>
        <v>201652.92</v>
      </c>
    </row>
    <row r="47" spans="1:22" hidden="1" x14ac:dyDescent="0.25">
      <c r="C47" s="2" t="s">
        <v>75</v>
      </c>
      <c r="F47" s="3">
        <f>[2]SAAB!$X$121</f>
        <v>3536032</v>
      </c>
      <c r="H47" s="3">
        <v>0</v>
      </c>
      <c r="L47" s="3">
        <f t="shared" si="2"/>
        <v>3536032</v>
      </c>
      <c r="P47" s="11">
        <v>0</v>
      </c>
      <c r="R47" s="11">
        <v>0</v>
      </c>
      <c r="V47" s="11">
        <f t="shared" si="3"/>
        <v>0</v>
      </c>
    </row>
    <row r="48" spans="1:22" hidden="1" x14ac:dyDescent="0.25">
      <c r="C48" s="2" t="s">
        <v>76</v>
      </c>
      <c r="F48" s="3">
        <f>[2]SAAB!$X$101</f>
        <v>8795013</v>
      </c>
      <c r="H48" s="3">
        <v>9796789</v>
      </c>
      <c r="L48" s="3">
        <f t="shared" si="2"/>
        <v>-1001776</v>
      </c>
      <c r="P48" s="11">
        <v>0</v>
      </c>
      <c r="R48" s="11">
        <v>0</v>
      </c>
      <c r="V48" s="11">
        <f t="shared" si="3"/>
        <v>0</v>
      </c>
    </row>
    <row r="49" spans="3:22" hidden="1" x14ac:dyDescent="0.25">
      <c r="C49" s="2" t="s">
        <v>77</v>
      </c>
      <c r="F49" s="3">
        <v>0</v>
      </c>
      <c r="H49" s="3">
        <v>0</v>
      </c>
      <c r="L49" s="3">
        <f t="shared" si="2"/>
        <v>0</v>
      </c>
      <c r="P49" s="11">
        <v>0</v>
      </c>
      <c r="R49" s="11">
        <v>0</v>
      </c>
      <c r="V49" s="11">
        <f t="shared" si="3"/>
        <v>0</v>
      </c>
    </row>
    <row r="50" spans="3:22" x14ac:dyDescent="0.25">
      <c r="C50" s="2" t="s">
        <v>78</v>
      </c>
      <c r="F50" s="3">
        <f>[2]SAAB!$X$122</f>
        <v>18924933</v>
      </c>
      <c r="H50" s="3">
        <v>13573877</v>
      </c>
      <c r="L50" s="3">
        <f t="shared" si="2"/>
        <v>5351056</v>
      </c>
      <c r="P50" s="11">
        <v>9164399.2300000004</v>
      </c>
      <c r="R50" s="11">
        <v>487980.91</v>
      </c>
      <c r="V50" s="11">
        <f t="shared" si="3"/>
        <v>8676418.3200000003</v>
      </c>
    </row>
    <row r="51" spans="3:22" x14ac:dyDescent="0.25">
      <c r="C51" s="2" t="s">
        <v>79</v>
      </c>
      <c r="H51" s="3"/>
      <c r="V51" s="11">
        <f t="shared" si="3"/>
        <v>0</v>
      </c>
    </row>
    <row r="52" spans="3:22" x14ac:dyDescent="0.25">
      <c r="F52" s="7">
        <f>SUM(F42:F50)</f>
        <v>105852954</v>
      </c>
      <c r="H52" s="7">
        <f>SUM(H42:H50)</f>
        <v>74988619</v>
      </c>
      <c r="L52" s="3">
        <f t="shared" si="2"/>
        <v>30864335</v>
      </c>
      <c r="P52" s="79">
        <f>SUM(P42:P51)</f>
        <v>16206273.390000001</v>
      </c>
      <c r="R52" s="79">
        <f>SUM(R42:R51)</f>
        <v>8063309.2599999998</v>
      </c>
      <c r="V52" s="11">
        <f t="shared" si="3"/>
        <v>8142964.1299999999</v>
      </c>
    </row>
    <row r="53" spans="3:22" x14ac:dyDescent="0.25">
      <c r="C53" s="2" t="s">
        <v>9</v>
      </c>
      <c r="H53" s="3"/>
    </row>
    <row r="54" spans="3:22" x14ac:dyDescent="0.25">
      <c r="C54" s="2" t="s">
        <v>11</v>
      </c>
      <c r="H54" s="3"/>
    </row>
    <row r="55" spans="3:22" x14ac:dyDescent="0.25">
      <c r="C55" s="2" t="s">
        <v>5</v>
      </c>
      <c r="F55" s="3">
        <f>[2]SAAB!$X$129</f>
        <v>70812393</v>
      </c>
      <c r="H55" s="3">
        <f>56511845+7610242.67</f>
        <v>64122088</v>
      </c>
      <c r="L55" s="3">
        <f t="shared" si="2"/>
        <v>6690305</v>
      </c>
      <c r="P55" s="11">
        <f>9125125.64+1843049.76</f>
        <v>10968175.4</v>
      </c>
      <c r="R55" s="11">
        <f>7753125.46+9162635.43</f>
        <v>16915760.890000001</v>
      </c>
      <c r="V55" s="11">
        <f t="shared" si="3"/>
        <v>-5947585.4900000002</v>
      </c>
    </row>
    <row r="56" spans="3:22" x14ac:dyDescent="0.25">
      <c r="C56" s="2" t="s">
        <v>80</v>
      </c>
      <c r="F56" s="3">
        <v>0</v>
      </c>
      <c r="H56" s="3">
        <v>0</v>
      </c>
      <c r="L56" s="3">
        <f t="shared" si="2"/>
        <v>0</v>
      </c>
      <c r="R56" s="11">
        <v>0</v>
      </c>
      <c r="V56" s="11">
        <f t="shared" si="3"/>
        <v>0</v>
      </c>
    </row>
    <row r="57" spans="3:22" x14ac:dyDescent="0.25">
      <c r="C57" s="2" t="s">
        <v>13</v>
      </c>
      <c r="F57" s="3">
        <f>[2]SAAB!$X$131+[2]SAAB!$X$132</f>
        <v>56295701</v>
      </c>
      <c r="H57" s="3">
        <v>46973726</v>
      </c>
      <c r="L57" s="3">
        <f t="shared" si="2"/>
        <v>9321975</v>
      </c>
      <c r="P57" s="11">
        <v>1736642.26</v>
      </c>
      <c r="R57" s="11">
        <v>2004385.3</v>
      </c>
      <c r="V57" s="11">
        <f t="shared" si="3"/>
        <v>-267743.03999999998</v>
      </c>
    </row>
    <row r="58" spans="3:22" x14ac:dyDescent="0.25">
      <c r="C58" s="2" t="s">
        <v>81</v>
      </c>
      <c r="F58" s="3">
        <v>29448018</v>
      </c>
      <c r="H58" s="3">
        <v>29448018</v>
      </c>
      <c r="L58" s="3">
        <f t="shared" si="2"/>
        <v>0</v>
      </c>
    </row>
    <row r="59" spans="3:22" x14ac:dyDescent="0.25">
      <c r="C59" s="2" t="s">
        <v>82</v>
      </c>
      <c r="F59" s="3">
        <f>[2]SAAB!$X$130+[2]SAAB!$X$133+[2]SAAB!$X$136</f>
        <v>6040588</v>
      </c>
      <c r="H59" s="3">
        <f>38275813.27+6856555.86-29448017.68</f>
        <v>15684351</v>
      </c>
      <c r="L59" s="3">
        <f t="shared" si="2"/>
        <v>-9643763</v>
      </c>
      <c r="P59" s="11">
        <v>0</v>
      </c>
      <c r="R59" s="11">
        <v>6272882.1100000003</v>
      </c>
      <c r="V59" s="11">
        <f t="shared" si="3"/>
        <v>-6272882.1100000003</v>
      </c>
    </row>
    <row r="60" spans="3:22" x14ac:dyDescent="0.25">
      <c r="F60" s="7">
        <f>SUM(F55:F59)</f>
        <v>162596700</v>
      </c>
      <c r="H60" s="7">
        <f>SUM(H55:H59)</f>
        <v>156228183</v>
      </c>
      <c r="L60" s="3">
        <f t="shared" si="2"/>
        <v>6368517</v>
      </c>
      <c r="P60" s="79">
        <f>SUM(P55:P59)</f>
        <v>12704817.66</v>
      </c>
      <c r="Q60" s="79">
        <f>SUM(Q55:Q59)</f>
        <v>0</v>
      </c>
      <c r="R60" s="79">
        <f>SUM(R55:R59)</f>
        <v>25193028.300000001</v>
      </c>
      <c r="V60" s="11">
        <f t="shared" si="3"/>
        <v>-12488210.640000001</v>
      </c>
    </row>
    <row r="61" spans="3:22" x14ac:dyDescent="0.25">
      <c r="F61" s="5"/>
      <c r="H61" s="5"/>
      <c r="P61" s="8"/>
      <c r="R61" s="8"/>
    </row>
    <row r="62" spans="3:22" x14ac:dyDescent="0.25">
      <c r="C62" s="2" t="s">
        <v>83</v>
      </c>
      <c r="F62" s="5">
        <f>[2]SAAB!$X$141</f>
        <v>14161518</v>
      </c>
      <c r="H62" s="5">
        <f>'[3]Consolidação - SAAB'!$T$98</f>
        <v>15010828</v>
      </c>
      <c r="L62" s="3">
        <f t="shared" si="2"/>
        <v>-849310</v>
      </c>
      <c r="P62" s="8"/>
      <c r="R62" s="8"/>
    </row>
    <row r="63" spans="3:22" x14ac:dyDescent="0.25">
      <c r="H63" s="3"/>
    </row>
    <row r="64" spans="3:22" x14ac:dyDescent="0.25">
      <c r="C64" s="2" t="s">
        <v>15</v>
      </c>
      <c r="H64" s="3"/>
    </row>
    <row r="65" spans="3:22" x14ac:dyDescent="0.25">
      <c r="C65" s="2" t="s">
        <v>17</v>
      </c>
      <c r="F65" s="3">
        <f>[2]SAAB!$X$146</f>
        <v>0</v>
      </c>
      <c r="H65" s="3">
        <v>181552630</v>
      </c>
      <c r="L65" s="3">
        <f t="shared" si="2"/>
        <v>-181552630</v>
      </c>
      <c r="P65" s="11">
        <v>26778135.449999999</v>
      </c>
      <c r="R65" s="11">
        <v>26778135.449999999</v>
      </c>
      <c r="V65" s="11">
        <f t="shared" si="3"/>
        <v>0</v>
      </c>
    </row>
    <row r="66" spans="3:22" x14ac:dyDescent="0.25">
      <c r="C66" s="2" t="s">
        <v>84</v>
      </c>
      <c r="F66" s="3">
        <f>[2]SAAB!$X$148+[2]SAAB!$X$149</f>
        <v>0</v>
      </c>
      <c r="H66" s="3">
        <v>46218103</v>
      </c>
      <c r="L66" s="3">
        <f t="shared" si="2"/>
        <v>-46218103</v>
      </c>
      <c r="V66" s="11">
        <f t="shared" si="3"/>
        <v>0</v>
      </c>
    </row>
    <row r="67" spans="3:22" x14ac:dyDescent="0.25">
      <c r="C67" s="2" t="s">
        <v>85</v>
      </c>
      <c r="F67" s="19"/>
      <c r="L67" s="3">
        <f t="shared" si="2"/>
        <v>0</v>
      </c>
      <c r="V67" s="11">
        <f t="shared" si="3"/>
        <v>0</v>
      </c>
    </row>
    <row r="68" spans="3:22" x14ac:dyDescent="0.25">
      <c r="C68" s="2" t="s">
        <v>86</v>
      </c>
      <c r="F68" s="19">
        <f>[2]SAAB!$X$150</f>
        <v>0</v>
      </c>
      <c r="H68" s="84"/>
      <c r="L68" s="3">
        <f t="shared" si="2"/>
        <v>0</v>
      </c>
      <c r="P68" s="11">
        <v>-11426334.82</v>
      </c>
      <c r="R68" s="11">
        <v>-10686125.83</v>
      </c>
      <c r="V68" s="11">
        <f t="shared" si="3"/>
        <v>-740208.99</v>
      </c>
    </row>
    <row r="69" spans="3:22" x14ac:dyDescent="0.25">
      <c r="F69" s="7">
        <f>SUM(F65:F68)</f>
        <v>0</v>
      </c>
      <c r="H69" s="6">
        <f>SUM(H65:H68)</f>
        <v>227770733</v>
      </c>
      <c r="L69" s="3">
        <f t="shared" si="2"/>
        <v>-227770733</v>
      </c>
      <c r="P69" s="61">
        <f>SUM(P65:P68)</f>
        <v>15351800.630000001</v>
      </c>
      <c r="R69" s="61">
        <f>SUM(R65:R68)</f>
        <v>16092009.619999999</v>
      </c>
      <c r="V69" s="11">
        <f t="shared" si="3"/>
        <v>-740208.99</v>
      </c>
    </row>
    <row r="70" spans="3:22" x14ac:dyDescent="0.25">
      <c r="H70" s="3"/>
    </row>
    <row r="71" spans="3:22" ht="16.5" thickBot="1" x14ac:dyDescent="0.3">
      <c r="F71" s="18">
        <f>F52+F60+F62+F69-1</f>
        <v>282611171</v>
      </c>
      <c r="H71" s="18">
        <f>H52+H60+H62+H69</f>
        <v>473998363</v>
      </c>
      <c r="L71" s="3">
        <f t="shared" si="2"/>
        <v>-191387192</v>
      </c>
      <c r="P71" s="85">
        <f>P52+P60+P62+P69</f>
        <v>44262891.68</v>
      </c>
      <c r="R71" s="85">
        <f>+R52+R60+R69</f>
        <v>49348347.18</v>
      </c>
      <c r="V71" s="11">
        <f t="shared" si="3"/>
        <v>-5085455.5</v>
      </c>
    </row>
    <row r="72" spans="3:22" ht="16.5" thickTop="1" x14ac:dyDescent="0.25"/>
    <row r="73" spans="3:22" x14ac:dyDescent="0.25">
      <c r="P73" s="11">
        <f>+P71-P8</f>
        <v>0</v>
      </c>
      <c r="R73" s="11">
        <f>R8-R71</f>
        <v>0</v>
      </c>
    </row>
  </sheetData>
  <mergeCells count="6">
    <mergeCell ref="F6:L6"/>
    <mergeCell ref="P6:V6"/>
    <mergeCell ref="C1:V1"/>
    <mergeCell ref="C2:R2"/>
    <mergeCell ref="C3:V3"/>
    <mergeCell ref="C5:V5"/>
  </mergeCells>
  <phoneticPr fontId="0" type="noConversion"/>
  <printOptions horizontalCentered="1"/>
  <pageMargins left="0.39370078740157483" right="0.27559055118110237" top="0.52" bottom="0.94488188976377963" header="0.6" footer="0.35433070866141736"/>
  <pageSetup paperSize="9" scale="77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4</vt:i4>
      </vt:variant>
      <vt:variant>
        <vt:lpstr>Intervalos nomeados</vt:lpstr>
      </vt:variant>
      <vt:variant>
        <vt:i4>2</vt:i4>
      </vt:variant>
    </vt:vector>
  </HeadingPairs>
  <TitlesOfParts>
    <vt:vector size="6" baseType="lpstr">
      <vt:lpstr>DRE 2014_2015</vt:lpstr>
      <vt:lpstr>DRE 2016_2017</vt:lpstr>
      <vt:lpstr>RESULTADO POR AÇÃO</vt:lpstr>
      <vt:lpstr>base para fluxo de caixa</vt:lpstr>
      <vt:lpstr>'DRE 2014_2015'!Area_de_impressao</vt:lpstr>
      <vt:lpstr>'DRE 2016_2017'!Area_de_impressao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Aguas de Niteroi</dc:creator>
  <cp:lastModifiedBy>Bianca de Gouveia da Silva</cp:lastModifiedBy>
  <cp:lastPrinted>2018-02-19T23:05:28Z</cp:lastPrinted>
  <dcterms:created xsi:type="dcterms:W3CDTF">2007-02-27T11:21:44Z</dcterms:created>
  <dcterms:modified xsi:type="dcterms:W3CDTF">2018-06-26T19:15:30Z</dcterms:modified>
</cp:coreProperties>
</file>